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drawings/drawing6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8.xml" ContentType="application/vnd.openxmlformats-officedocument.drawing+xml"/>
  <Override PartName="/xl/worksheets/sheet31.xml" ContentType="application/vnd.openxmlformats-officedocument.spreadsheetml.worksheet+xml"/>
  <Override PartName="/xl/drawings/drawing9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10.xml" ContentType="application/vnd.openxmlformats-officedocument.drawing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drawings/drawing11.xml" ContentType="application/vnd.openxmlformats-officedocument.drawing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drawings/drawing12.xml" ContentType="application/vnd.openxmlformats-officedocument.drawing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drawings/drawing13.xml" ContentType="application/vnd.openxmlformats-officedocument.drawing+xml"/>
  <Override PartName="/xl/worksheets/sheet63.xml" ContentType="application/vnd.openxmlformats-officedocument.spreadsheetml.worksheet+xml"/>
  <Override PartName="/xl/drawings/drawing14.xml" ContentType="application/vnd.openxmlformats-officedocument.drawing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2120" windowHeight="8820" tabRatio="935" firstSheet="67" activeTab="70"/>
  </bookViews>
  <sheets>
    <sheet name="First-Page" sheetId="1" r:id="rId1"/>
    <sheet name="Contents" sheetId="2" r:id="rId2"/>
    <sheet name="Sheet1" sheetId="3" r:id="rId3"/>
    <sheet name="AT-1-Gen_Info " sheetId="4" r:id="rId4"/>
    <sheet name="AT-2-S1 BUDGET" sheetId="5" r:id="rId5"/>
    <sheet name="AT_2A_fundflow" sheetId="6" r:id="rId6"/>
    <sheet name="AT-3" sheetId="7" r:id="rId7"/>
    <sheet name="AT3A_cvrg(Insti)_PY" sheetId="8" r:id="rId8"/>
    <sheet name="AT3B_cvrg(Insti)_UPY " sheetId="9" r:id="rId9"/>
    <sheet name="AT3C_cvrg(Insti)_UPY " sheetId="10" r:id="rId10"/>
    <sheet name="AT 4 enrolment vs availed_PY" sheetId="11" r:id="rId11"/>
    <sheet name="AT 4A enrolment vs availed_UPY" sheetId="12" r:id="rId12"/>
    <sheet name="AT-4B" sheetId="13" r:id="rId13"/>
    <sheet name="AT5_PLAN_vs_PRFM" sheetId="14" r:id="rId14"/>
    <sheet name="AT5A_PLAN_vs_PRFM " sheetId="15" r:id="rId15"/>
    <sheet name="AT5B_PLAN_vs_PRFM  (2)" sheetId="16" r:id="rId16"/>
    <sheet name="AT5C_Drought_PLAN_vs_PRFM " sheetId="17" r:id="rId17"/>
    <sheet name="AT5D_Drought_PLAN_vs_PRFM  " sheetId="18" r:id="rId18"/>
    <sheet name="AT6_FG_py_Utlsn" sheetId="19" r:id="rId19"/>
    <sheet name="AT6A_FG_Upy_Utlsn " sheetId="20" r:id="rId20"/>
    <sheet name="AT6B_Pay_FG_FCI_Pry" sheetId="21" r:id="rId21"/>
    <sheet name="AT6C_Coarse_Grain" sheetId="22" r:id="rId22"/>
    <sheet name="AT7_CC_PY_Utlsn" sheetId="23" r:id="rId23"/>
    <sheet name="AT7ACC_UPY_Utlsn " sheetId="24" r:id="rId24"/>
    <sheet name="AT-8_Hon_CCH_Pry" sheetId="25" r:id="rId25"/>
    <sheet name="AT-8A_Hon_CCH_UPry" sheetId="26" r:id="rId26"/>
    <sheet name="AT9_TA" sheetId="27" r:id="rId27"/>
    <sheet name="AT10_MME" sheetId="28" r:id="rId28"/>
    <sheet name="AT10A_" sheetId="29" r:id="rId29"/>
    <sheet name="AT-10 B" sheetId="30" r:id="rId30"/>
    <sheet name="AT-10 C" sheetId="31" r:id="rId31"/>
    <sheet name="AT-10D" sheetId="32" r:id="rId32"/>
    <sheet name="AT-10 E" sheetId="33" r:id="rId33"/>
    <sheet name="AT-10 F" sheetId="34" r:id="rId34"/>
    <sheet name="AT11_KS Year wise" sheetId="35" r:id="rId35"/>
    <sheet name="AT11A_KS-District wise" sheetId="36" r:id="rId36"/>
    <sheet name="AT12_KD-New" sheetId="37" r:id="rId37"/>
    <sheet name="AT12A_KD-Replacement" sheetId="38" r:id="rId38"/>
    <sheet name="AT 13 Mode of cooking" sheetId="39" r:id="rId39"/>
    <sheet name="AT-14 " sheetId="40" r:id="rId40"/>
    <sheet name="AT-14 A " sheetId="41" r:id="rId41"/>
    <sheet name="AT-15" sheetId="42" r:id="rId42"/>
    <sheet name="AT-16" sheetId="43" r:id="rId43"/>
    <sheet name="AT_17_Coverage-RBSK " sheetId="44" r:id="rId44"/>
    <sheet name="AT18_Details_Community " sheetId="45" r:id="rId45"/>
    <sheet name="AT_19_Impl_Agency" sheetId="46" r:id="rId46"/>
    <sheet name="AT_20_InformationCookingagency " sheetId="47" r:id="rId47"/>
    <sheet name="AT-21" sheetId="48" r:id="rId48"/>
    <sheet name="AT-22" sheetId="49" r:id="rId49"/>
    <sheet name="AT-23 MIS " sheetId="50" r:id="rId50"/>
    <sheet name="AT-23A _AMS" sheetId="51" r:id="rId51"/>
    <sheet name="AT-24 " sheetId="52" r:id="rId52"/>
    <sheet name="AT-25 " sheetId="53" r:id="rId53"/>
    <sheet name="Sheet1 (2)" sheetId="54" r:id="rId54"/>
    <sheet name="AT26_NoWD" sheetId="55" r:id="rId55"/>
    <sheet name="AT26A_NoWD" sheetId="56" r:id="rId56"/>
    <sheet name="AT27_Req_FG_CA_Pry" sheetId="57" r:id="rId57"/>
    <sheet name="AT27A_Req_FG_CA_U Pry " sheetId="58" r:id="rId58"/>
    <sheet name="AT-27B_Req_FG_CA_NCLP" sheetId="59" r:id="rId59"/>
    <sheet name="AT-27 C_Req_FG_CA_Drought-Pry" sheetId="60" r:id="rId60"/>
    <sheet name="AT-27 D_Req_FG_CA_Drought-UPry" sheetId="61" r:id="rId61"/>
    <sheet name="AT_28_RqmtKitchen" sheetId="62" r:id="rId62"/>
    <sheet name="AT-28 A_RqmtPlinthArea" sheetId="63" r:id="rId63"/>
    <sheet name="AT-28B_Kitchen repair" sheetId="64" r:id="rId64"/>
    <sheet name="AT29_Replacement KD " sheetId="65" r:id="rId65"/>
    <sheet name="AT29 A_Replacement KD" sheetId="66" r:id="rId66"/>
    <sheet name="AT-30_Coook-cum-Helper" sheetId="67" r:id="rId67"/>
    <sheet name="AT_31_Budget_provision " sheetId="68" r:id="rId68"/>
    <sheet name="AT32_Drought Pry Util" sheetId="69" r:id="rId69"/>
    <sheet name="AT-32A Drought UPry Util" sheetId="70" r:id="rId70"/>
    <sheet name="Sheet2" sheetId="71" r:id="rId71"/>
  </sheets>
  <definedNames>
    <definedName name="_xlnm.Print_Area" localSheetId="38">'AT 13 Mode of cooking'!$A$1:$H$43</definedName>
    <definedName name="_xlnm.Print_Area" localSheetId="10">'AT 4 enrolment vs availed_PY'!$A$1:$Q$47</definedName>
    <definedName name="_xlnm.Print_Area" localSheetId="11">'AT 4A enrolment vs availed_UPY'!$A$1:$R$48</definedName>
    <definedName name="_xlnm.Print_Area" localSheetId="43">'AT_17_Coverage-RBSK '!$A$1:$L$49</definedName>
    <definedName name="_xlnm.Print_Area" localSheetId="45">'AT_19_Impl_Agency'!$A$1:$J$52</definedName>
    <definedName name="_xlnm.Print_Area" localSheetId="46">'AT_20_InformationCookingagency '!$A$1:$M$49</definedName>
    <definedName name="_xlnm.Print_Area" localSheetId="61">'AT_28_RqmtKitchen'!$A$1:$S$44</definedName>
    <definedName name="_xlnm.Print_Area" localSheetId="5">'AT_2A_fundflow'!$A$1:$V$31</definedName>
    <definedName name="_xlnm.Print_Area" localSheetId="67">'AT_31_Budget_provision '!$A$1:$W$36</definedName>
    <definedName name="_xlnm.Print_Area" localSheetId="29">'AT-10 B'!$A$1:$I$45</definedName>
    <definedName name="_xlnm.Print_Area" localSheetId="30">'AT-10 C'!$A$1:$J$41</definedName>
    <definedName name="_xlnm.Print_Area" localSheetId="32">'AT-10 E'!$A$1:$H$43</definedName>
    <definedName name="_xlnm.Print_Area" localSheetId="33">'AT-10 F'!$A$1:$H$41</definedName>
    <definedName name="_xlnm.Print_Area" localSheetId="27">'AT10_MME'!$A$1:$H$32</definedName>
    <definedName name="_xlnm.Print_Area" localSheetId="28">'AT10A_'!$A$1:$E$46</definedName>
    <definedName name="_xlnm.Print_Area" localSheetId="31">'AT-10D'!$A$1:$H$32</definedName>
    <definedName name="_xlnm.Print_Area" localSheetId="34">'AT11_KS Year wise'!$A$1:$K$32</definedName>
    <definedName name="_xlnm.Print_Area" localSheetId="35">'AT11A_KS-District wise'!$A$1:$K$48</definedName>
    <definedName name="_xlnm.Print_Area" localSheetId="36">'AT12_KD-New'!$A$1:$K$47</definedName>
    <definedName name="_xlnm.Print_Area" localSheetId="37">'AT12A_KD-Replacement'!$A$1:$K$47</definedName>
    <definedName name="_xlnm.Print_Area" localSheetId="39">'AT-14 '!$A$1:$N$42</definedName>
    <definedName name="_xlnm.Print_Area" localSheetId="40">'AT-14 A '!$A$1:$H$42</definedName>
    <definedName name="_xlnm.Print_Area" localSheetId="41">'AT-15'!$A$1:$L$24</definedName>
    <definedName name="_xlnm.Print_Area" localSheetId="42">'AT-16'!$A$1:$K$43</definedName>
    <definedName name="_xlnm.Print_Area" localSheetId="44">'AT18_Details_Community '!$A$1:$F$45</definedName>
    <definedName name="_xlnm.Print_Area" localSheetId="3">'AT-1-Gen_Info '!$B$1:$U$57</definedName>
    <definedName name="_xlnm.Print_Area" localSheetId="51">'AT-24 '!$A$1:$M$44</definedName>
    <definedName name="_xlnm.Print_Area" localSheetId="54">'AT26_NoWD'!$A$1:$L$31</definedName>
    <definedName name="_xlnm.Print_Area" localSheetId="55">'AT26A_NoWD'!$A$1:$K$32</definedName>
    <definedName name="_xlnm.Print_Area" localSheetId="59">'AT-27 C_Req_FG_CA_Drought-Pry'!$A$1:$P$54</definedName>
    <definedName name="_xlnm.Print_Area" localSheetId="60">'AT-27 D_Req_FG_CA_Drought-UPry'!$A$1:$P$55</definedName>
    <definedName name="_xlnm.Print_Area" localSheetId="56">'AT27_Req_FG_CA_Pry'!$A$1:$T$48</definedName>
    <definedName name="_xlnm.Print_Area" localSheetId="57">'AT27A_Req_FG_CA_U Pry '!$A$1:$T$48</definedName>
    <definedName name="_xlnm.Print_Area" localSheetId="58">'AT-27B_Req_FG_CA_NCLP'!$A$1:$R$53</definedName>
    <definedName name="_xlnm.Print_Area" localSheetId="62">'AT-28 A_RqmtPlinthArea'!$A$1:$S$43</definedName>
    <definedName name="_xlnm.Print_Area" localSheetId="63">'AT-28B_Kitchen repair'!$A$1:$G$45</definedName>
    <definedName name="_xlnm.Print_Area" localSheetId="65">'AT29 A_Replacement KD'!$A$1:$V$45</definedName>
    <definedName name="_xlnm.Print_Area" localSheetId="64">'AT29_Replacement KD '!$A$1:$V$33</definedName>
    <definedName name="_xlnm.Print_Area" localSheetId="4">'AT-2-S1 BUDGET'!$B$1:$W$31</definedName>
    <definedName name="_xlnm.Print_Area" localSheetId="6">'AT-3'!$B$1:$J$44</definedName>
    <definedName name="_xlnm.Print_Area" localSheetId="66">'AT-30_Coook-cum-Helper'!$A$1:$L$46</definedName>
    <definedName name="_xlnm.Print_Area" localSheetId="68">'AT32_Drought Pry Util'!$A$1:$L$46</definedName>
    <definedName name="_xlnm.Print_Area" localSheetId="69">'AT-32A Drought UPry Util'!$A$1:$L$46</definedName>
    <definedName name="_xlnm.Print_Area" localSheetId="7">'AT3A_cvrg(Insti)_PY'!$B$1:$O$50</definedName>
    <definedName name="_xlnm.Print_Area" localSheetId="8">'AT3B_cvrg(Insti)_UPY '!$B$1:$O$50</definedName>
    <definedName name="_xlnm.Print_Area" localSheetId="9">'AT3C_cvrg(Insti)_UPY '!$A$1:$N$50</definedName>
    <definedName name="_xlnm.Print_Area" localSheetId="13">'AT5_PLAN_vs_PRFM'!$A$1:$J$46</definedName>
    <definedName name="_xlnm.Print_Area" localSheetId="14">'AT5A_PLAN_vs_PRFM '!$A$1:$J$46</definedName>
    <definedName name="_xlnm.Print_Area" localSheetId="15">'AT5B_PLAN_vs_PRFM  (2)'!$A$1:$J$46</definedName>
    <definedName name="_xlnm.Print_Area" localSheetId="16">'AT5C_Drought_PLAN_vs_PRFM '!$A$1:$J$46</definedName>
    <definedName name="_xlnm.Print_Area" localSheetId="17">'AT5D_Drought_PLAN_vs_PRFM  '!$A$1:$J$46</definedName>
    <definedName name="_xlnm.Print_Area" localSheetId="18">'AT6_FG_py_Utlsn'!$A$1:$L$47</definedName>
    <definedName name="_xlnm.Print_Area" localSheetId="19">'AT6A_FG_Upy_Utlsn '!$A$1:$L$48</definedName>
    <definedName name="_xlnm.Print_Area" localSheetId="20">'AT6B_Pay_FG_FCI_Pry'!$A$1:$M$49</definedName>
    <definedName name="_xlnm.Print_Area" localSheetId="21">'AT6C_Coarse_Grain'!$A$1:$L$48</definedName>
    <definedName name="_xlnm.Print_Area" localSheetId="22">'AT7_CC_PY_Utlsn'!$A$1:$Q$49</definedName>
    <definedName name="_xlnm.Print_Area" localSheetId="23">'AT7ACC_UPY_Utlsn '!$A$1:$Q$48</definedName>
    <definedName name="_xlnm.Print_Area" localSheetId="24">'AT-8_Hon_CCH_Pry'!$A$1:$V$50</definedName>
    <definedName name="_xlnm.Print_Area" localSheetId="25">'AT-8A_Hon_CCH_UPry'!$A$1:$V$48</definedName>
    <definedName name="_xlnm.Print_Area" localSheetId="26">'AT9_TA'!$A$1:$H$45</definedName>
    <definedName name="_xlnm.Print_Area" localSheetId="1">'Contents'!$B$1:$E$68</definedName>
    <definedName name="_xlnm.Print_Area" localSheetId="2">'Sheet1'!$B$1:$K$24</definedName>
    <definedName name="_xlnm.Print_Area" localSheetId="53">'Sheet1 (2)'!$A$1:$J$24</definedName>
  </definedNames>
  <calcPr fullCalcOnLoad="1"/>
</workbook>
</file>

<file path=xl/sharedStrings.xml><?xml version="1.0" encoding="utf-8"?>
<sst xmlns="http://schemas.openxmlformats.org/spreadsheetml/2006/main" count="4301" uniqueCount="1078">
  <si>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</si>
  <si>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</si>
  <si>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</si>
  <si>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</si>
  <si>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</si>
  <si>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</si>
  <si>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</si>
  <si>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</si>
  <si>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</si>
  <si>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</si>
  <si>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</si>
  <si>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</si>
  <si>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</si>
  <si>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>(Signature)</t>
  </si>
  <si>
    <t xml:space="preserve">Secretary of the Nodal Department </t>
  </si>
  <si>
    <t xml:space="preserve">                          Government/UT Administration of ________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</si>
  <si>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</si>
  <si>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</si>
  <si>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</si>
  <si>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</si>
  <si>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</si>
  <si>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</si>
  <si>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>Date: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</si>
  <si>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</si>
  <si>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</si>
  <si>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</si>
  <si>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</si>
  <si>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</si>
  <si>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</si>
  <si>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</si>
  <si>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</si>
  <si>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</si>
  <si>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</si>
  <si>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</si>
  <si>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</si>
  <si>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</si>
  <si>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</si>
  <si>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</si>
  <si>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</si>
  <si>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</si>
  <si>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</si>
  <si>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</si>
  <si>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</si>
  <si>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</si>
  <si>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</si>
  <si>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</si>
  <si>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</si>
  <si>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</si>
  <si>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</si>
  <si>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</si>
  <si>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</si>
  <si>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</si>
  <si>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</si>
  <si>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</si>
  <si>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</si>
  <si>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</si>
  <si>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</si>
  <si>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</si>
  <si>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</si>
  <si>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</si>
  <si>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</si>
  <si>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</si>
  <si>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</si>
  <si>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</si>
  <si>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</si>
  <si>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</si>
  <si>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</si>
  <si>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</si>
  <si>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</si>
  <si>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</si>
  <si>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</si>
  <si>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</si>
  <si>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</si>
  <si>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</si>
  <si>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</si>
  <si>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</si>
  <si>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</si>
  <si>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</si>
  <si>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</si>
  <si>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</si>
  <si>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</si>
  <si>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</si>
  <si>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</si>
  <si>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</si>
  <si>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</si>
  <si>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</si>
  <si>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</si>
  <si>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</si>
  <si>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</si>
  <si>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</si>
  <si>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</si>
  <si>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>Table: AT-7A</t>
  </si>
  <si>
    <t>Requirement of funds for Foodgrains (Rs. in lakhs)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</si>
  <si>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</si>
  <si>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</si>
  <si>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</si>
  <si>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</si>
  <si>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</si>
  <si>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</si>
  <si>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</si>
  <si>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</si>
  <si>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</si>
  <si>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</si>
  <si>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</si>
  <si>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</si>
  <si>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</si>
  <si>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</si>
  <si>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</si>
  <si>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</si>
  <si>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</si>
  <si>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</si>
  <si>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</si>
  <si>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 xml:space="preserve">No. of working days on which MDM served </t>
  </si>
  <si>
    <t>Centre</t>
  </si>
  <si>
    <t>Total (col.8+11-14)</t>
  </si>
  <si>
    <t>*</t>
  </si>
  <si>
    <t>Central assistance received</t>
  </si>
  <si>
    <t>*Rice</t>
  </si>
  <si>
    <t>*Wheat</t>
  </si>
  <si>
    <t>**</t>
  </si>
  <si>
    <t>***</t>
  </si>
  <si>
    <t>Honorarium amount (Rs. In lakhs)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</si>
  <si>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</si>
  <si>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</si>
  <si>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</si>
  <si>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</si>
  <si>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</si>
  <si>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</si>
  <si>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</si>
  <si>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</si>
  <si>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</si>
  <si>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</si>
  <si>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</si>
  <si>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</si>
  <si>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</si>
  <si>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</si>
  <si>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</si>
  <si>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</si>
  <si>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</si>
  <si>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</si>
  <si>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</si>
  <si>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</si>
  <si>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</si>
  <si>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</si>
  <si>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r>
      <t xml:space="preserve">Total  </t>
    </r>
    <r>
      <rPr>
        <b/>
        <i/>
        <sz val="10"/>
        <rFont val="Arial"/>
        <family val="2"/>
      </rPr>
      <t xml:space="preserve"> </t>
    </r>
  </si>
  <si>
    <t>#</t>
  </si>
  <si>
    <t xml:space="preserve"># Rice </t>
  </si>
  <si>
    <t>##</t>
  </si>
  <si>
    <t xml:space="preserve">## Wheat </t>
  </si>
  <si>
    <t xml:space="preserve">Unit Cost </t>
  </si>
  <si>
    <t>(Rs. In lakhs)</t>
  </si>
  <si>
    <t>No. of Institutions assigned to</t>
  </si>
  <si>
    <t>Grand total</t>
  </si>
  <si>
    <t xml:space="preserve">**State </t>
  </si>
  <si>
    <t xml:space="preserve">***Requirement of Transport Assistance                           (Rs. in lakhs) 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</si>
  <si>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</si>
  <si>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</si>
  <si>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</si>
  <si>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</si>
  <si>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</si>
  <si>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</si>
  <si>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</si>
  <si>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</si>
  <si>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</si>
  <si>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</si>
  <si>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</si>
  <si>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 xml:space="preserve">$Central share   </t>
  </si>
  <si>
    <t>$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</si>
  <si>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</si>
  <si>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</si>
  <si>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</si>
  <si>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</si>
  <si>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</si>
  <si>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</si>
  <si>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</si>
  <si>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</si>
  <si>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State / UT: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</si>
  <si>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</si>
  <si>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</si>
  <si>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</si>
  <si>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</si>
  <si>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</si>
  <si>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</si>
  <si>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</si>
  <si>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</si>
  <si>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</si>
  <si>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</si>
  <si>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</si>
  <si>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</si>
  <si>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</si>
  <si>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</si>
  <si>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</si>
  <si>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</si>
  <si>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</si>
  <si>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</si>
  <si>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>Requirement of Cooking Assistance (Rs. in lakh)</t>
  </si>
  <si>
    <t xml:space="preserve">*Total </t>
  </si>
  <si>
    <t>States / UTs will indicate their choice.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</si>
  <si>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</si>
  <si>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</si>
  <si>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</si>
  <si>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</si>
  <si>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</si>
  <si>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</si>
  <si>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</si>
  <si>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</si>
  <si>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</si>
  <si>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</si>
  <si>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</si>
  <si>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</si>
  <si>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</si>
  <si>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</si>
  <si>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</si>
  <si>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</si>
  <si>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</si>
  <si>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</si>
  <si>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</si>
  <si>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</si>
  <si>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</si>
  <si>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Average No. of children availed MDM [Col. 8/Col. 9]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</si>
  <si>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</si>
  <si>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</si>
  <si>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</si>
  <si>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</si>
  <si>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</si>
  <si>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</si>
  <si>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</si>
  <si>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</si>
  <si>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</si>
  <si>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</si>
  <si>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 xml:space="preserve">Tax per MT foodgrain, if any :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</si>
  <si>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</si>
  <si>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</si>
  <si>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</si>
  <si>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</si>
  <si>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</si>
  <si>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</si>
  <si>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</si>
  <si>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</si>
  <si>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</si>
  <si>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</si>
  <si>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</si>
  <si>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</si>
  <si>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</si>
  <si>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</si>
  <si>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</si>
  <si>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</si>
  <si>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col.7 x col.8 x State's / UT's share</t>
  </si>
  <si>
    <t>Deworming tablets distributed</t>
  </si>
  <si>
    <t xml:space="preserve">[col. 9]x Rs. PDS rate for Special Category States  </t>
  </si>
  <si>
    <t xml:space="preserve">[col. 9]x Rs. 750 for other States/UTs. </t>
  </si>
  <si>
    <t>Table AT - 8 :UTILIZATION OF CENTRAL ASSISTANCE TOWARDS HONORARIUM TO COOK-CUM-HELPERS (Primary classes I-V)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</si>
  <si>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</si>
  <si>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</si>
  <si>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</si>
  <si>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</si>
  <si>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</si>
  <si>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</si>
  <si>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</si>
  <si>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</si>
  <si>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</si>
  <si>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Procured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</si>
  <si>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</si>
  <si>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</si>
  <si>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</si>
  <si>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</si>
  <si>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</si>
  <si>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</si>
  <si>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</si>
  <si>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</si>
  <si>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</si>
  <si>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</si>
  <si>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</si>
  <si>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</si>
  <si>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</si>
  <si>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</si>
  <si>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</si>
  <si>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</si>
  <si>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</si>
  <si>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</si>
  <si>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</si>
  <si>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</si>
  <si>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</si>
  <si>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</si>
  <si>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</si>
  <si>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</si>
  <si>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</si>
  <si>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</si>
  <si>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</si>
  <si>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</si>
  <si>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</si>
  <si>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</si>
  <si>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</si>
  <si>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</si>
  <si>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</si>
  <si>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</si>
  <si>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</si>
  <si>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</si>
  <si>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</si>
  <si>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</si>
  <si>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</si>
  <si>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</si>
  <si>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</si>
  <si>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</si>
  <si>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</si>
  <si>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</si>
  <si>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</si>
  <si>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</si>
  <si>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</si>
  <si>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</si>
  <si>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</si>
  <si>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</si>
  <si>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</si>
  <si>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</si>
  <si>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</si>
  <si>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</si>
  <si>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</si>
  <si>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</si>
  <si>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</si>
  <si>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</si>
  <si>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</si>
  <si>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</si>
  <si>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</si>
  <si>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</si>
  <si>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</si>
  <si>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</si>
  <si>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</si>
  <si>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</si>
  <si>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</si>
  <si>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</si>
  <si>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</si>
  <si>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</si>
  <si>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</si>
  <si>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</si>
  <si>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</si>
  <si>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</si>
  <si>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</si>
  <si>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</si>
  <si>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</si>
  <si>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</si>
  <si>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</si>
  <si>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</si>
  <si>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</si>
  <si>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</si>
  <si>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</si>
  <si>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</si>
  <si>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</si>
  <si>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</si>
  <si>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</si>
  <si>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</si>
  <si>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</si>
  <si>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Table: AT-4A: Enrolment vis-a-vis availed for MDM  (Upper Primary, Classes VI - VIII)</t>
  </si>
  <si>
    <t>2014-15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</si>
  <si>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</si>
  <si>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</si>
  <si>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</si>
  <si>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</si>
  <si>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</si>
  <si>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</si>
  <si>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</si>
  <si>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</si>
  <si>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 xml:space="preserve">Closing Balance**  (col.9+10-11)                         </t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</si>
  <si>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</si>
  <si>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</si>
  <si>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</si>
  <si>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</si>
  <si>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>**state share includes funds as well as monetary value of the commodities supplied by the State/UT</t>
  </si>
  <si>
    <t>** state share includes funds as well as monetary value of the commodities supplied by the State/UT</t>
  </si>
  <si>
    <t>** State</t>
  </si>
  <si>
    <t>**State</t>
  </si>
  <si>
    <t xml:space="preserve">**State (col.7+10-13)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</si>
  <si>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</si>
  <si>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</si>
  <si>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</si>
  <si>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</si>
  <si>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</si>
  <si>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</si>
  <si>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</si>
  <si>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</si>
  <si>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</si>
  <si>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</si>
  <si>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</si>
  <si>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</si>
  <si>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</si>
  <si>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</si>
  <si>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</si>
  <si>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</si>
  <si>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</si>
  <si>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</si>
  <si>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</si>
  <si>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</si>
  <si>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</si>
  <si>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</si>
  <si>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</si>
  <si>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</si>
  <si>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</si>
  <si>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</si>
  <si>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</si>
  <si>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</si>
  <si>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</si>
  <si>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</si>
  <si>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</si>
  <si>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</si>
  <si>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</si>
  <si>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</si>
  <si>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</si>
  <si>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</si>
  <si>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</si>
  <si>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</si>
  <si>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</si>
  <si>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</si>
  <si>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</si>
  <si>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</si>
  <si>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</si>
  <si>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</si>
  <si>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</si>
  <si>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Action Taken by State Govt. on findings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</si>
  <si>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</si>
  <si>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</si>
  <si>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</si>
  <si>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</si>
  <si>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</si>
  <si>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</si>
  <si>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</si>
  <si>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</si>
  <si>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</si>
  <si>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</si>
  <si>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</si>
  <si>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</si>
  <si>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</si>
  <si>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>Cnetre Share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</si>
  <si>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</si>
  <si>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</si>
  <si>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</si>
  <si>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</si>
  <si>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</si>
  <si>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</si>
  <si>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>Table AT - 8A : UTILIZATION OF CENTRAL ASSISTANCE TOWARDS HONORARIUM TO COOK-CUM-HELPERS (Upper Primary classes VI-VIII)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</si>
  <si>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</si>
  <si>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</si>
  <si>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</si>
  <si>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Coarse Grains</t>
  </si>
  <si>
    <t>*Coarse Grains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</si>
  <si>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</si>
  <si>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</si>
  <si>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</si>
  <si>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</si>
  <si>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</si>
  <si>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</si>
  <si>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</si>
  <si>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</si>
  <si>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</si>
  <si>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</si>
  <si>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</si>
  <si>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</si>
  <si>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</si>
  <si>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</si>
  <si>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</si>
  <si>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</si>
  <si>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</si>
  <si>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</si>
  <si>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</si>
  <si>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</si>
  <si>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</si>
  <si>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</si>
  <si>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</si>
  <si>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</si>
  <si>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</si>
  <si>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</si>
  <si>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</si>
  <si>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</si>
  <si>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</si>
  <si>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</si>
  <si>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</si>
  <si>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</si>
  <si>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</si>
  <si>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working days (During 01.04.15 to 31.12.15)                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</si>
  <si>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</si>
  <si>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</si>
  <si>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</si>
  <si>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</si>
  <si>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</si>
  <si>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</si>
  <si>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</si>
  <si>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</si>
  <si>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</si>
  <si>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</si>
  <si>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>Contents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</si>
  <si>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</si>
  <si>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</si>
  <si>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</si>
  <si>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Proposed number of children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</si>
  <si>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</si>
  <si>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</si>
  <si>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</si>
  <si>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</si>
  <si>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</si>
  <si>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</si>
  <si>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</si>
  <si>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</si>
  <si>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</si>
  <si>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</si>
  <si>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</si>
  <si>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</si>
  <si>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</si>
  <si>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</si>
  <si>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</si>
  <si>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</si>
  <si>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</si>
  <si>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>Table No.</t>
  </si>
  <si>
    <t>Particulars</t>
  </si>
  <si>
    <t>AT- 1</t>
  </si>
  <si>
    <t>AT - 2</t>
  </si>
  <si>
    <t>AT - 3</t>
  </si>
  <si>
    <t>AT - 4</t>
  </si>
  <si>
    <t>AT - 5</t>
  </si>
  <si>
    <t>AT - 6</t>
  </si>
  <si>
    <t>AT - 7</t>
  </si>
  <si>
    <t>AT - 8</t>
  </si>
  <si>
    <t>AT - 9</t>
  </si>
  <si>
    <t>AT - 10</t>
  </si>
  <si>
    <t>AT - 11</t>
  </si>
  <si>
    <t>AT - 12</t>
  </si>
  <si>
    <t>AT - 13</t>
  </si>
  <si>
    <t>AT - 14</t>
  </si>
  <si>
    <t>AT - 15</t>
  </si>
  <si>
    <t>AT - 16</t>
  </si>
  <si>
    <t>AT - 17</t>
  </si>
  <si>
    <t>AT - 18</t>
  </si>
  <si>
    <t>AT - 19</t>
  </si>
  <si>
    <t>AT - 20</t>
  </si>
  <si>
    <t>AT - 21</t>
  </si>
  <si>
    <t>AT - 22</t>
  </si>
  <si>
    <t>AT - 23</t>
  </si>
  <si>
    <t>AT - 24</t>
  </si>
  <si>
    <t>AT - 25</t>
  </si>
  <si>
    <t>AT - 26</t>
  </si>
  <si>
    <t>AT - 27</t>
  </si>
  <si>
    <t>AT - 28</t>
  </si>
  <si>
    <t>AT - 29</t>
  </si>
  <si>
    <t>AT - 30</t>
  </si>
  <si>
    <t>AT - 31</t>
  </si>
  <si>
    <t>AT- 3 A</t>
  </si>
  <si>
    <t>AT- 3 B</t>
  </si>
  <si>
    <t>AT-3 C</t>
  </si>
  <si>
    <t>AT - 4 A</t>
  </si>
  <si>
    <t>AT - 5 A</t>
  </si>
  <si>
    <t>AT - 5 B</t>
  </si>
  <si>
    <t>AT - 5 C</t>
  </si>
  <si>
    <t>AT - 6 A</t>
  </si>
  <si>
    <t>AT - 6 B</t>
  </si>
  <si>
    <t>AT - 5 D</t>
  </si>
  <si>
    <t>AT - 6 C</t>
  </si>
  <si>
    <t>AT - 7 A</t>
  </si>
  <si>
    <t>AT - 8 A</t>
  </si>
  <si>
    <t xml:space="preserve">Sanction and Utilisation of Central assistance towards construction of Kitchen-cum-store (Primary &amp; Upper Primary,Classes I-VIII) </t>
  </si>
  <si>
    <t>AT - 11 A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</si>
  <si>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</si>
  <si>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</si>
  <si>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</si>
  <si>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- 14 A</t>
  </si>
  <si>
    <t>Formation of School Management Committee (SMC) at School Level for Monitoring the Scheme</t>
  </si>
  <si>
    <t>Responsibility of Implementation</t>
  </si>
  <si>
    <t xml:space="preserve">Information on Cooking Agencies </t>
  </si>
  <si>
    <t>Manpower dedicated for MDMS</t>
  </si>
  <si>
    <t>Details of mode of cooking</t>
  </si>
  <si>
    <t>Details of discrimination of any kind in MDMS</t>
  </si>
  <si>
    <t>Details of engagement and apportionment of honorarium to cook cum helpers (CCH) between schools and centralized kitchen.</t>
  </si>
  <si>
    <t>Information on NGOs covering more than 20000 children, if any</t>
  </si>
  <si>
    <t>Details of Grievance Redressal cell</t>
  </si>
  <si>
    <t>Details of IEC Activities</t>
  </si>
  <si>
    <t>Quality, Safety and Hygiene</t>
  </si>
  <si>
    <t>Testing of Food Samples</t>
  </si>
  <si>
    <t>Contribution by community in form of  Tithi Bhojan or any other similar practice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</si>
  <si>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</si>
  <si>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</si>
  <si>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</si>
  <si>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</si>
  <si>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</si>
  <si>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AT - 10 A</t>
  </si>
  <si>
    <t>BALOD</t>
  </si>
  <si>
    <t>BALODABAZAR</t>
  </si>
  <si>
    <t>BALRAMPUR</t>
  </si>
  <si>
    <t>BASTAR</t>
  </si>
  <si>
    <t>BEMETARA</t>
  </si>
  <si>
    <t>BIJAPUR</t>
  </si>
  <si>
    <t>BILASPUR</t>
  </si>
  <si>
    <t>DANTEWADA</t>
  </si>
  <si>
    <t>DHAMTARI</t>
  </si>
  <si>
    <t>DURG</t>
  </si>
  <si>
    <t>GARIYABAND</t>
  </si>
  <si>
    <t>JANJGIR</t>
  </si>
  <si>
    <t>JASHPUR</t>
  </si>
  <si>
    <t>KANKER</t>
  </si>
  <si>
    <t>KAWARDHA</t>
  </si>
  <si>
    <t>KONDAGAON</t>
  </si>
  <si>
    <t>KORBA</t>
  </si>
  <si>
    <t>KORIA</t>
  </si>
  <si>
    <t>MAHASAMUND</t>
  </si>
  <si>
    <t>MUNGELI</t>
  </si>
  <si>
    <t>NARAYANPUR</t>
  </si>
  <si>
    <t>RAIGARH</t>
  </si>
  <si>
    <t>RAIPUR</t>
  </si>
  <si>
    <t>RAJNANDGAON</t>
  </si>
  <si>
    <t>SARGUJA</t>
  </si>
  <si>
    <t>SUKMA</t>
  </si>
  <si>
    <t>SURAJPUR</t>
  </si>
  <si>
    <t xml:space="preserve">as per need </t>
  </si>
  <si>
    <r>
      <t xml:space="preserve">Financial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Rs. in lakh)</t>
    </r>
  </si>
  <si>
    <r>
      <t xml:space="preserve">Physical           </t>
    </r>
    <r>
      <rPr>
        <sz val="8"/>
        <rFont val="Arial"/>
        <family val="2"/>
      </rPr>
      <t>[col. 3-col.5-col.7]</t>
    </r>
  </si>
  <si>
    <r>
      <t xml:space="preserve">Financial ( Rs. in lakh)                                     </t>
    </r>
    <r>
      <rPr>
        <sz val="8"/>
        <rFont val="Arial"/>
        <family val="2"/>
      </rPr>
      <t xml:space="preserve">  [col. 4-col.6-col.8]</t>
    </r>
  </si>
  <si>
    <t>e Transfer</t>
  </si>
  <si>
    <t>Nil</t>
  </si>
  <si>
    <t>SMC/VEC / WEC/HM</t>
  </si>
  <si>
    <t>Pahal</t>
  </si>
  <si>
    <t>Janhit Chintak Sewa Samiti</t>
  </si>
  <si>
    <t>Durg</t>
  </si>
  <si>
    <t>Akshya Patra</t>
  </si>
  <si>
    <t>Reward</t>
  </si>
  <si>
    <t>Raipur</t>
  </si>
  <si>
    <t>Either District Officials or Block officials make payment monthly directly to to cooks and one month advance to SHGs by e payment through Govt Treasury.</t>
  </si>
  <si>
    <t>1 Director</t>
  </si>
  <si>
    <t>2 Additional Director</t>
  </si>
  <si>
    <t>3 Deputy Director/ Dist. Ed. Offi.</t>
  </si>
  <si>
    <t>4 Assistant Director/ Block Ed. Offi.</t>
  </si>
  <si>
    <t>5 Accountant</t>
  </si>
  <si>
    <t>6 Cleark</t>
  </si>
  <si>
    <t>Contractual/Part time employee</t>
  </si>
  <si>
    <t>1 Computer Programmer</t>
  </si>
  <si>
    <t xml:space="preserve">2 Consultant Nutrition And Dietitian </t>
  </si>
  <si>
    <t xml:space="preserve">3 Programme Manager </t>
  </si>
  <si>
    <t>4 Data Entry Operator</t>
  </si>
  <si>
    <t>5 Peon</t>
  </si>
  <si>
    <t xml:space="preserve">6 IVRS Technical Person </t>
  </si>
  <si>
    <t>State / UT: Chhattisgarh</t>
  </si>
  <si>
    <t>Others      (Please specify)</t>
  </si>
  <si>
    <t>State : Chhattisgarh</t>
  </si>
  <si>
    <t>Government/UT Administration of Chhattisgarh</t>
  </si>
  <si>
    <t>Government Administration of Chhattisgarh</t>
  </si>
  <si>
    <t>2017-18</t>
  </si>
  <si>
    <t>Gross Allocation for the  FY 2016-17</t>
  </si>
  <si>
    <t>*Total sanctioned during 2006-07  to 2016-17</t>
  </si>
  <si>
    <t xml:space="preserve">Kitchen-cum-store sanctioned during 2006-07 to 2016-17 </t>
  </si>
  <si>
    <r>
      <t>Financial           (</t>
    </r>
    <r>
      <rPr>
        <b/>
        <i/>
        <sz val="10"/>
        <rFont val="Arial"/>
        <family val="2"/>
      </rPr>
      <t>Rs. in lakh)</t>
    </r>
  </si>
  <si>
    <r>
      <t>Financial                  (</t>
    </r>
    <r>
      <rPr>
        <b/>
        <i/>
        <sz val="10"/>
        <rFont val="Arial"/>
        <family val="2"/>
      </rPr>
      <t>Rs. in lakh)</t>
    </r>
  </si>
  <si>
    <t>April,17</t>
  </si>
  <si>
    <t>May,17</t>
  </si>
  <si>
    <t>June,17</t>
  </si>
  <si>
    <t>July,17</t>
  </si>
  <si>
    <t>August,17</t>
  </si>
  <si>
    <t>September,17</t>
  </si>
  <si>
    <t>October,17</t>
  </si>
  <si>
    <t>November,17</t>
  </si>
  <si>
    <t>December,17</t>
  </si>
  <si>
    <t>January,18</t>
  </si>
  <si>
    <t>February,18</t>
  </si>
  <si>
    <t>March,18</t>
  </si>
  <si>
    <t>col. 10 x Rs.  3000.00 + VAT/Other taxes</t>
  </si>
  <si>
    <t>col. 11x Rs. 2000.00 + VAT/Other taxes</t>
  </si>
  <si>
    <t>(col.7 x col.8 x Rs. 3.72 for NER States and 3 hilly States), (col.7 x col. 8 x Rs. 4.13 for UTs) and (col. 7 x col. 8 x Rs. 2.48 for other States)</t>
  </si>
  <si>
    <t>(col.7 x col.8 x Rs. 5.56 for NER States and 3 hilly States), (col.7 x col. 8 x Rs. 6.18 for UTs) and (col. 7 x col. 8 x Rs. 3.71 for other States)</t>
  </si>
  <si>
    <t>Table - AT - 10 B</t>
  </si>
  <si>
    <t xml:space="preserve"> Government/UT Administration of ________</t>
  </si>
  <si>
    <t>Table - AT - 10 C</t>
  </si>
  <si>
    <t>Table AT -10 C :Details of IEC Activities</t>
  </si>
  <si>
    <t>Table: AT 10 D - Manpower dedicated for MDMS</t>
  </si>
  <si>
    <t>Table AT-13</t>
  </si>
  <si>
    <t>Table AT- 13: Details of mode of cooking</t>
  </si>
  <si>
    <t>Table: AT- 14</t>
  </si>
  <si>
    <t>Table AT -14 : Quality, Safety and Hygiene</t>
  </si>
  <si>
    <t>No. of schools having parents roaster</t>
  </si>
  <si>
    <t>No. of schools having tasting register</t>
  </si>
  <si>
    <t>Table: AT- 14 A</t>
  </si>
  <si>
    <t>Table AT -14 A : Testing of Food Samples by accredited labs</t>
  </si>
  <si>
    <t>Table: AT- 15</t>
  </si>
  <si>
    <t>Table AT -15 : Contribution by community in form of  Tithi Bhojan or any other similar practice</t>
  </si>
  <si>
    <t>Table: AT- 16</t>
  </si>
  <si>
    <t>Table AT -16 : Interuptions in serving of MDM and MDM allowance paid to children</t>
  </si>
  <si>
    <t xml:space="preserve">Table: AT-20 </t>
  </si>
  <si>
    <t xml:space="preserve">Table: AT-20 : Information on Cooking Agencies </t>
  </si>
  <si>
    <t>Table - AT - 21</t>
  </si>
  <si>
    <t>Table AT 21 :Details of engagement and apportionment of honorarium to cook cum helpers (CCH) between schools and centralized kitchen.</t>
  </si>
  <si>
    <t xml:space="preserve">Total no. of cent. kitchen </t>
  </si>
  <si>
    <t>Physical details</t>
  </si>
  <si>
    <t>Financial details (Rs. in Lakh)</t>
  </si>
  <si>
    <t>No. of Institutions covered</t>
  </si>
  <si>
    <t>No. of CCH engaged at Cent. Kitchen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</si>
  <si>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</si>
  <si>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</si>
  <si>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</si>
  <si>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</si>
  <si>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>* Total number of cook-cum-helpers can not exceed the norms for engagement of cook-cum-helpers.</t>
  </si>
  <si>
    <t>Table: AT- 22</t>
  </si>
  <si>
    <t>Table AT -22 :Information on NGOs covering more than 20000 children, if any</t>
  </si>
  <si>
    <t>Table - AT - 24</t>
  </si>
  <si>
    <t>Table AT - 24 : Details of discrimination of any kind in MDMS</t>
  </si>
  <si>
    <t>Table: AT- 25</t>
  </si>
  <si>
    <t>Table AT- 25: Details of Grievance Redressal cell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</si>
  <si>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</si>
  <si>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</si>
  <si>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</si>
  <si>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</si>
  <si>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</si>
  <si>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</si>
  <si>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</si>
  <si>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</si>
  <si>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 xml:space="preserve">State : Chhattisgarh </t>
  </si>
  <si>
    <t>Table: AT-2A</t>
  </si>
  <si>
    <t xml:space="preserve">Drought </t>
  </si>
  <si>
    <r>
      <t>Balance of 1</t>
    </r>
    <r>
      <rPr>
        <vertAlign val="superscript"/>
        <sz val="11"/>
        <rFont val="Arial"/>
        <family val="2"/>
      </rPr>
      <t>st</t>
    </r>
    <r>
      <rPr>
        <sz val="11"/>
        <rFont val="Arial"/>
        <family val="2"/>
      </rPr>
      <t xml:space="preserve"> Instalment</t>
    </r>
  </si>
  <si>
    <r>
      <t>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Instalment</t>
    </r>
  </si>
  <si>
    <t xml:space="preserve">                         </t>
  </si>
  <si>
    <t xml:space="preserve"> Government Administration of  Chhattisgarh</t>
  </si>
  <si>
    <t>AT - 2 A</t>
  </si>
  <si>
    <t>AT - 10 B</t>
  </si>
  <si>
    <t xml:space="preserve">Details of Social Audit </t>
  </si>
  <si>
    <t>AT - 10 C</t>
  </si>
  <si>
    <t>AT - 10 D</t>
  </si>
  <si>
    <t>Interuptions in serving of MDM and MDM allowance paid to children</t>
  </si>
  <si>
    <t>AT - 23 A</t>
  </si>
  <si>
    <t>AT - 26 A</t>
  </si>
  <si>
    <t>AT - 27 A</t>
  </si>
  <si>
    <t>AT - 27 B</t>
  </si>
  <si>
    <t>AT - 27 C</t>
  </si>
  <si>
    <t>AT - 27 D</t>
  </si>
  <si>
    <t>AT - 28 A</t>
  </si>
  <si>
    <t>Total         (col 6+7) *</t>
  </si>
  <si>
    <t xml:space="preserve"> Government/UT Administration of Chhattisgarh</t>
  </si>
  <si>
    <t>Akshya Patra Foundation</t>
  </si>
  <si>
    <t>कवर्धा</t>
  </si>
  <si>
    <t>कांकेर</t>
  </si>
  <si>
    <t xml:space="preserve">कोंडागांव </t>
  </si>
  <si>
    <t>कोरबा</t>
  </si>
  <si>
    <t>कोरिया</t>
  </si>
  <si>
    <t xml:space="preserve">गरियाबंद </t>
  </si>
  <si>
    <t>जांजगीर-चाम्पा</t>
  </si>
  <si>
    <t>दन्तेवाड़ा</t>
  </si>
  <si>
    <t>दुर्ग</t>
  </si>
  <si>
    <t>धमतरी</t>
  </si>
  <si>
    <t>नारायणपुर</t>
  </si>
  <si>
    <t>बेमेतरा</t>
  </si>
  <si>
    <t xml:space="preserve">बलौदा बाजार </t>
  </si>
  <si>
    <t xml:space="preserve">बालोद </t>
  </si>
  <si>
    <t>बिलासपुर</t>
  </si>
  <si>
    <t>बीजापुर</t>
  </si>
  <si>
    <t xml:space="preserve">मुंगेली </t>
  </si>
  <si>
    <t>महासमुंद</t>
  </si>
  <si>
    <t>राजनांदगांव</t>
  </si>
  <si>
    <t>रायगढ़</t>
  </si>
  <si>
    <t>रायपुर</t>
  </si>
  <si>
    <t>State/UT : Chhattisgarh</t>
  </si>
  <si>
    <t xml:space="preserve"> Government Administration of Chhattisgarh</t>
  </si>
  <si>
    <t>State: Chhattisgarh</t>
  </si>
  <si>
    <t xml:space="preserve">State: Chhattisgarh </t>
  </si>
  <si>
    <t>0771-2511191</t>
  </si>
  <si>
    <t>dpi.mdm@gmail.com</t>
  </si>
  <si>
    <t>School Education Department</t>
  </si>
  <si>
    <t>DEO</t>
  </si>
  <si>
    <t>BEO</t>
  </si>
  <si>
    <t>NO</t>
  </si>
  <si>
    <t>No</t>
  </si>
  <si>
    <t>Toll free number/Letters</t>
  </si>
  <si>
    <t>Yes</t>
  </si>
  <si>
    <t>State:  Chhattisgarh</t>
  </si>
  <si>
    <t>Table: AT-26</t>
  </si>
  <si>
    <t>Table: AT-26 A</t>
  </si>
  <si>
    <t>Table: AT-27</t>
  </si>
  <si>
    <t>Table: AT-27 A</t>
  </si>
  <si>
    <t>Table: AT-27 B</t>
  </si>
  <si>
    <t>Table: AT-27 C</t>
  </si>
  <si>
    <t>Table: AT-27 D</t>
  </si>
  <si>
    <t>Table: AT-28</t>
  </si>
  <si>
    <t xml:space="preserve">Table: AT-28 A </t>
  </si>
  <si>
    <t>Table: AT-29</t>
  </si>
  <si>
    <t>Table: AT-30</t>
  </si>
  <si>
    <t>Table: AT-31</t>
  </si>
  <si>
    <t>Including incentive for use of LPG gas.</t>
  </si>
  <si>
    <t>Rate  of Transportation Assistance (Per MT) in Rs</t>
  </si>
  <si>
    <t>Note- Only the food is edible or not tested. The test is not worth the calories and protein.</t>
  </si>
  <si>
    <t>* Expenditure is given Including Drought affected area.</t>
  </si>
  <si>
    <t>* AllocationExpenditure is given Including Drought affected area.</t>
  </si>
  <si>
    <t>MME expenditure is including for drought also.</t>
  </si>
  <si>
    <t>Table: AT-1: GENERAL INFORMATION for 2017-18</t>
  </si>
  <si>
    <t>2018-19</t>
  </si>
  <si>
    <t>(For the Period 01.04.17 to 11.12.17)</t>
  </si>
  <si>
    <t>Gross Allocation for the  FY 2017-18</t>
  </si>
  <si>
    <t>Opening Balance as on 01.04.17</t>
  </si>
  <si>
    <t>Table: AT-10 :  Utilisation of Central Assistance towards MME  (Primary &amp; Upper Primary,Classes I-VIII) during 2017-18</t>
  </si>
  <si>
    <t>Unspent balance as on 31.12.17                         [Col: (4+5)-7]</t>
  </si>
  <si>
    <t xml:space="preserve">  Government/UT Administration of Chhattisgarh</t>
  </si>
  <si>
    <t>* Excluding Drought</t>
  </si>
  <si>
    <t xml:space="preserve">                  Cook-cum-helper required for Implimentation of scheme in summer vacation</t>
  </si>
  <si>
    <t>Table: AT- 32</t>
  </si>
  <si>
    <t>District :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</si>
  <si>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</si>
  <si>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</si>
  <si>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</si>
  <si>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</si>
  <si>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</si>
  <si>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</si>
  <si>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Secretary of the Nodal Department</t>
  </si>
  <si>
    <t>Government/UT Administration of ________</t>
  </si>
  <si>
    <t>Table: AT-32A</t>
  </si>
  <si>
    <t>Table: AT-32 A:  PAB-MDM Approval vs. PERFORMANCE (Upper Primary, Classes VI to VIII) during 2017-18 - Drought</t>
  </si>
  <si>
    <t>No. of institutions where setting up of kitchen garden is in progress</t>
  </si>
  <si>
    <t>No. of institutions already having kitchen gardens</t>
  </si>
  <si>
    <t>Total institutions where setting up of kitchen garden is possible</t>
  </si>
  <si>
    <t>Total no.  of institutions</t>
  </si>
  <si>
    <t>Table AT-10 E: Information on Kitchen Gardens</t>
  </si>
  <si>
    <t>Table: AT- 10 E</t>
  </si>
  <si>
    <t>AT - 4 B</t>
  </si>
  <si>
    <t>Information on Aadhaar Enrolment</t>
  </si>
  <si>
    <t xml:space="preserve">AT - 10 E </t>
  </si>
  <si>
    <t>Information on Kitchen Garden</t>
  </si>
  <si>
    <t>AT - 32</t>
  </si>
  <si>
    <t>AT - 32 A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</si>
  <si>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</si>
  <si>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</si>
  <si>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</si>
  <si>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</si>
  <si>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</si>
  <si>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</si>
  <si>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</si>
  <si>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Revalidation of Unspent Balance</t>
  </si>
  <si>
    <t>Rs in Lakh</t>
  </si>
  <si>
    <t>AT - 10 F</t>
  </si>
  <si>
    <t>During 01.04.17 to 31.03.2018</t>
  </si>
  <si>
    <t xml:space="preserve">* Including Drought </t>
  </si>
  <si>
    <t>Unspent Balance as on 31.03.18</t>
  </si>
  <si>
    <t xml:space="preserve">State / UT: CHHATTISGARH </t>
  </si>
  <si>
    <t>Table: AT- 10 F</t>
  </si>
  <si>
    <t>बालोद</t>
  </si>
  <si>
    <t>बलौदा बाजार</t>
  </si>
  <si>
    <t>बलरामपुर</t>
  </si>
  <si>
    <t>बस्तर</t>
  </si>
  <si>
    <t>गरियाबंद</t>
  </si>
  <si>
    <t>जशपुर</t>
  </si>
  <si>
    <t>कोंडागांव</t>
  </si>
  <si>
    <t>मुंगेली</t>
  </si>
  <si>
    <t>सरगुजा</t>
  </si>
  <si>
    <t>सुकमा</t>
  </si>
  <si>
    <t>सुरजपूर</t>
  </si>
  <si>
    <t>some found fake and in some case warning letter has been issued</t>
  </si>
  <si>
    <t>Mahasamund, Bilaspur, Korba</t>
  </si>
  <si>
    <t>July, August, October 2017</t>
  </si>
  <si>
    <t>3 Removed</t>
  </si>
  <si>
    <t>Dhamtari, Raigarh, Sarguja, Surajpur</t>
  </si>
  <si>
    <t>September, November 2017</t>
  </si>
  <si>
    <t>7 Removed</t>
  </si>
  <si>
    <t xml:space="preserve">Gariyaband, Janjgir </t>
  </si>
  <si>
    <t xml:space="preserve"> December 2017, 01-03-2018</t>
  </si>
  <si>
    <t>Signature</t>
  </si>
  <si>
    <t>Table: AT-2A : Releasing of Funds from State to Directorate / Authority / District / Block / School level for 2017-18</t>
  </si>
  <si>
    <t xml:space="preserve">Average No. of children availed for MDM </t>
  </si>
  <si>
    <t>Average No. of children availed for MDM</t>
  </si>
  <si>
    <t>Table: AT-27C: Proposal for coverage of children and working days  for Primary (Classes I-V) in Drought affected areas  during 2018-19</t>
  </si>
  <si>
    <t>Table: AT-27 D: Proposal for coverage of children and working days  for  Upper Primary (Classes VI-VIII)in Drought affected areas  during 2018-19</t>
  </si>
  <si>
    <t>Table: AT-2815 A: Requirement of kitchen cum stores as per Plinth Area Norm in the Primary and Upper Primary schools for the year 2018-19</t>
  </si>
  <si>
    <t xml:space="preserve"> Cook-cum-helper required for Implimentation of scheme in summer vacation</t>
  </si>
  <si>
    <t>Annual Work Plan and Budget 2019-20</t>
  </si>
  <si>
    <t>Proposals for 2019-20</t>
  </si>
  <si>
    <t>GENERAL INFORMATION for 2018-19</t>
  </si>
  <si>
    <t>Details of  Provisions  in the State Budget 2018-19</t>
  </si>
  <si>
    <t>No. of Institutions in the State vis a vis Institutions serving MDM during 2018-19</t>
  </si>
  <si>
    <t>No. of Institutions covered  (Primary, Classes I-V)  during 2018-19</t>
  </si>
  <si>
    <t>No. of Institutions covered (Upper Primary with Primary, Classes I-VIII) during 2018-19</t>
  </si>
  <si>
    <t>No. of Institutions covered (Upper Primary without Primary, Classes VI-VIII) during 2018-19</t>
  </si>
  <si>
    <t>Enrolment vis-à-vis availed for MDM  (Primary,Classes I- V) during 2018-19</t>
  </si>
  <si>
    <t>PAB-MDM Approval vs. PERFORMANCE (Primary, Classes I - V) during 2018-19</t>
  </si>
  <si>
    <t>PAB-MDM Approval vs. PERFORMANCE (Upper Primary, Classes VI to VIII) during 2018-19</t>
  </si>
  <si>
    <t>PAB-MDM Approval vs. PERFORMANCE NCLP Schools during 2018-19</t>
  </si>
  <si>
    <t>PAB-MDM Approval vs. PERFORMANCE (Primary, Classes I - V) during 2018-19 - Drought</t>
  </si>
  <si>
    <t>PAB-MDM Approval vs. PERFORMANCE (Upper Primary, Classes VI to VIII) during 2018-19 - Drought</t>
  </si>
  <si>
    <t>Utilisation of foodgrains  (Primary, Classes I-V) during 2018-19</t>
  </si>
  <si>
    <t>Utilisation of foodgrains  (Upper Primary, Classes VI-VIII) during 2018-19</t>
  </si>
  <si>
    <t>PAYMENT OF COST OF FOOD GRAINS TO FCI (Primary and Upper Primary Classes I-VIII) during 2018-19</t>
  </si>
  <si>
    <t>Utilisation of foodgrains (Coarse Grain) during 2018-19</t>
  </si>
  <si>
    <t>Utilisation of Cooking Cost (Primary, Classes I-V) during 2018-19</t>
  </si>
  <si>
    <t>Utilisation of Central Assitance towards Transportation Assistance (Primary &amp; Upper Primary,Classes I-VIII) during 2018-19</t>
  </si>
  <si>
    <t>Utilisation of Central Assistance towards MME  (Primary &amp; Upper Primary,Classes I-VIII) during 2018-19</t>
  </si>
  <si>
    <t>Details of Meetings at district level during 2018-19</t>
  </si>
  <si>
    <t>Coverage under Rashtriya Bal Swasthya Karykram (School Health Programme) - 2018-19</t>
  </si>
  <si>
    <t>Annual and Monthly data entry status in MDM-MIS during 2018-19</t>
  </si>
  <si>
    <t>Implementation of Automated Monitoring System  during 2018-19</t>
  </si>
  <si>
    <t>Number of School Working Days (Primary,Classes I-V) for 2019-20</t>
  </si>
  <si>
    <t>Number of School Working Days (Upper Primary,Classes VI-VIII) for 2019-20</t>
  </si>
  <si>
    <t>Proposal for coverage of children and working days  for 2019-20  (Primary Classes, I-V)</t>
  </si>
  <si>
    <t>Proposal for coverage of children and working days  for 2019-20  (Upper Primary,Classes VI-VIII)</t>
  </si>
  <si>
    <t>Proposal for coverage of children for NCLP Schools during 2019-20</t>
  </si>
  <si>
    <t>Proposal for coverage of children and working days  for Primary (Classes I-V) in Drought affected areas  during 2019-20</t>
  </si>
  <si>
    <t>Proposal for coverage of children and working days  for  Upper Primary (Classes VI-VIII)in Drought affected areas  during 2019-20</t>
  </si>
  <si>
    <t>Requirement of kitchen-cum-stores in the Primary and Upper Primary schools for the year 2019-20</t>
  </si>
  <si>
    <t>Requirement of kitchen cum stores as per Plinth Area Norm in the Primary and Upper Primary schools for the year 2019-20</t>
  </si>
  <si>
    <t>Requirement of Cook cum Helpers for 2019-20</t>
  </si>
  <si>
    <t>Budget Provision for the Year 2019-20</t>
  </si>
  <si>
    <t>PAB-MDM Approval vs. PERFORMANCE (Primary Classes I to V) during 2018-19 - Drought</t>
  </si>
  <si>
    <t>Table: AT-2 :  Details of  Provisions  in the State Budget 2018-19</t>
  </si>
  <si>
    <t>Budget Released till 31.03.2019</t>
  </si>
  <si>
    <t xml:space="preserve">सुरजपूर </t>
  </si>
  <si>
    <t xml:space="preserve">बलरामपुर </t>
  </si>
  <si>
    <t xml:space="preserve">सुकमा </t>
  </si>
  <si>
    <t>Upper Primary       (VI-VIII)</t>
  </si>
  <si>
    <t>Primary                (I-V)</t>
  </si>
  <si>
    <t>Table: AT-4: Enrolment vis-à-vis availed for MDM  (Primary,Classes I- V) during 2018-19</t>
  </si>
  <si>
    <t>Table: AT-3C: No. of Institutions covered (Upper Primary without Primary, Classes VI-VIII) during 2018-19</t>
  </si>
  <si>
    <t>Table: AT-3A: No. of Institutions covered  (Primary, Classes I-V)  during 2018-19</t>
  </si>
  <si>
    <t>During 01.04.18 to 31.03.2019</t>
  </si>
  <si>
    <t>Enrolment (As on 30.09.2018)</t>
  </si>
  <si>
    <t>Table: AT-5:  PAB-MDM Approval vs. PERFORMANCE (Primary, Classes I - V) during 2018-19</t>
  </si>
  <si>
    <t>MDM-PAB Approval for 2018-19</t>
  </si>
  <si>
    <t>AT - 28 B</t>
  </si>
  <si>
    <t>AT- 29 A</t>
  </si>
  <si>
    <t>Replacement of Kitchen Devices during 2019-20 in Primary &amp; Upper Primary Schools</t>
  </si>
  <si>
    <t>Repair of kitchen cum stores constructed ten years ago</t>
  </si>
  <si>
    <t>Table: AT-28 B</t>
  </si>
  <si>
    <t>Table: AT-28 B: Repair of kitchen cum stores constructed ten years ago</t>
  </si>
  <si>
    <t>State/UT :</t>
  </si>
  <si>
    <t>No. of Kitchens constructed prior to FY 2008-09</t>
  </si>
  <si>
    <t>No. of Kitchens constructed prior to 2008-09 and require repairs</t>
  </si>
  <si>
    <t>Requirement of funds (Rs in lakh)</t>
  </si>
  <si>
    <t>Centre share</t>
  </si>
  <si>
    <t>State share</t>
  </si>
  <si>
    <t>Table: AT-29A</t>
  </si>
  <si>
    <t>Table: AT-29 A : Replacement of Kitchen Devices during 2019-20 in Primary &amp; Upper Primary Schools</t>
  </si>
  <si>
    <t xml:space="preserve">Enrolment range 01-50 </t>
  </si>
  <si>
    <t xml:space="preserve">Enrolment range 51-150 </t>
  </si>
  <si>
    <t xml:space="preserve">Enrolment range 151-250 </t>
  </si>
  <si>
    <t xml:space="preserve">Enrolment range 251 &amp; Above </t>
  </si>
  <si>
    <t>No. of schools</t>
  </si>
  <si>
    <t>requirement of funds (Rs in lakh)</t>
  </si>
  <si>
    <t>Central share</t>
  </si>
  <si>
    <r>
      <t xml:space="preserve">No. of working days </t>
    </r>
    <r>
      <rPr>
        <b/>
        <sz val="8"/>
        <rFont val="Arial"/>
        <family val="2"/>
      </rPr>
      <t xml:space="preserve">(During 01.04.18 to 31.03.19)     </t>
    </r>
    <r>
      <rPr>
        <b/>
        <sz val="10"/>
        <rFont val="Arial"/>
        <family val="2"/>
      </rPr>
      <t xml:space="preserve">             </t>
    </r>
  </si>
  <si>
    <t>During 01.04.18 to 31.03.19</t>
  </si>
  <si>
    <t>TotalEnrolment (As on 30.09.2018)</t>
  </si>
  <si>
    <t>Table: AT-5 B:  PAB-MDM Approval vs. PERFORMANCE NCLP Schools during 2018-19</t>
  </si>
  <si>
    <t>Table: AT-5 D:  PAB-MDM Approval vs. PERFORMANCE (Upper Primary, Classes VI to VIII) during 2018-19 - Drought</t>
  </si>
  <si>
    <t>(For the Period 01.4.18 to 31.03.19)</t>
  </si>
  <si>
    <t>Table: AT-6: Utilisation of foodgrains*  (Primary, Classes I-V) during 2018-19</t>
  </si>
  <si>
    <t>Gross Allocation for the  FY 2018-19</t>
  </si>
  <si>
    <t xml:space="preserve">Opening Balance as on 01.4.18 </t>
  </si>
  <si>
    <t>Opening Balance as on 01.4.18</t>
  </si>
  <si>
    <t>*Including Drought ,134.40 MT Food Grain Consumed in drought affected area.</t>
  </si>
  <si>
    <t xml:space="preserve">Closing Balance**      (col.4+5-6)                         </t>
  </si>
  <si>
    <t>Opening Balance as on 01.04.18</t>
  </si>
  <si>
    <t>* Including Drought   Food Grain Consumed in drought affected area</t>
  </si>
  <si>
    <t>Table: AT-6B: PAYMENT OF COST OF FOOD GRAINS TO FCI (Primary and Upper Primary Classes I-VIII) during 2018-19</t>
  </si>
  <si>
    <t>(For the Period 01.4.18 to 31.03.19</t>
  </si>
  <si>
    <t>Allocation for cost of foodgrains for 2018-19</t>
  </si>
  <si>
    <t>Table: AT-7: Utilisation of Cooking Cost* (Primary, Classes I-V) during 2018-19</t>
  </si>
  <si>
    <t xml:space="preserve">Total Unspent Balance as on 31.03.2019 </t>
  </si>
  <si>
    <t xml:space="preserve">Allocation for 2018-19                                    </t>
  </si>
  <si>
    <t xml:space="preserve">Opening Balance as on 01.04.2018                                       </t>
  </si>
  <si>
    <t>Allocation for FY 2018-19</t>
  </si>
  <si>
    <t>Opening Balance as on 01.04.2018</t>
  </si>
  <si>
    <t>* Approval and  Expenditure are given Including Drought affected area.</t>
  </si>
  <si>
    <t>(For the Period 01.4.18to 31.03.19</t>
  </si>
  <si>
    <t>Opening balance as on 01.04.18</t>
  </si>
  <si>
    <r>
      <t xml:space="preserve">Unspent Balance as on 31.03.19  [Col. 4+ Col.5-Col.6] </t>
    </r>
    <r>
      <rPr>
        <sz val="10"/>
        <rFont val="Arial"/>
        <family val="2"/>
      </rPr>
      <t xml:space="preserve"> </t>
    </r>
  </si>
  <si>
    <t>Allocation for  2018-19</t>
  </si>
  <si>
    <t>(For the Period 01.04.18 to 31.03.19)</t>
  </si>
  <si>
    <t>Table: AT-10 A : Details of Meetings at district level during 2018-19</t>
  </si>
  <si>
    <t xml:space="preserve">Table AT - 10 B : Details of Social Audit during 2018-19 </t>
  </si>
  <si>
    <t>No. of institutions where setting up of kitchen garden is proposed during 2019-20</t>
  </si>
  <si>
    <t>Name of the Krishi Vigyan Kendra (KVK)</t>
  </si>
  <si>
    <t>District Krishi Vigyan Kendra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</si>
  <si>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</si>
  <si>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</si>
  <si>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</si>
  <si>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</si>
  <si>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</si>
  <si>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</si>
  <si>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</si>
  <si>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 xml:space="preserve">1 Day </t>
  </si>
  <si>
    <t>BEO Office</t>
  </si>
  <si>
    <t>Video,demo and presentation</t>
  </si>
  <si>
    <t>(As on 31st Mar, 2019</t>
  </si>
  <si>
    <t>(As on 31st March, 2019)</t>
  </si>
  <si>
    <t>(As on 31st Mar, 2019)</t>
  </si>
  <si>
    <t>*Total Sanction during 2011-12, 12-13, 13-14, 14-15 , 15-16,16-17 , 217-18 and 2018-19</t>
  </si>
  <si>
    <t>As on 31st March, 2019</t>
  </si>
  <si>
    <t>Table: AT-17 : Coverage under Rashtriya Bal Swasthya Karykram (School Health Programme) - 2018-19</t>
  </si>
  <si>
    <t>During 01.04.18 to 31.12.2019</t>
  </si>
  <si>
    <t>Table: AT-13 : Number of School Working Days (Primary,Classes I-V) for 2019-20</t>
  </si>
  <si>
    <t>April,19</t>
  </si>
  <si>
    <t>May,19</t>
  </si>
  <si>
    <t>June,19</t>
  </si>
  <si>
    <t>July,19</t>
  </si>
  <si>
    <t>August,19</t>
  </si>
  <si>
    <t>September,19</t>
  </si>
  <si>
    <t>October,19</t>
  </si>
  <si>
    <t>November,19</t>
  </si>
  <si>
    <t>December,19</t>
  </si>
  <si>
    <t>January,20</t>
  </si>
  <si>
    <t>February,20</t>
  </si>
  <si>
    <t>March,20</t>
  </si>
  <si>
    <t>Table: AT-13A : Number of School Working Days (Upper Primary,Classes VI-VIII) for 2019-20</t>
  </si>
  <si>
    <t>Table: AT-27B: Proposal for coverage of children for NCLP Schools during 2019-20</t>
  </si>
  <si>
    <t>Table: AT-28: Requirement of kitchen-cum-stores in the Primary and Upper Primary schools for the year 2019-20</t>
  </si>
  <si>
    <t>Engaged in 2018-19</t>
  </si>
  <si>
    <t xml:space="preserve">State Laboratory Food and Durg Control Department/NABL LAB ANACON LABORATORIES PVT. LTD Ramnagar Square Nagpur And Mitra S.K. Private Limited Anmol Vihar Srinagar Gudhiyari Road Raipur </t>
  </si>
  <si>
    <t>Surguja, Raipur,Bilaspur, Balrampur, Dhamtari Kanker, janjgir Chapa, Korba Jashpur, Surajpur,Balodabazar</t>
  </si>
  <si>
    <t>July, August,December 2017, Ocober 2018</t>
  </si>
  <si>
    <t>18 Removed, 2 in Process</t>
  </si>
  <si>
    <t>Others (Inculding Meal had not cooked according to Menu)</t>
  </si>
  <si>
    <t xml:space="preserve">Balrampur, Janjgir,Bilaspur,Dhamatari, Korba, Balrampur,  Sarguja, Raigarh, Korba, Kanker </t>
  </si>
  <si>
    <t>July, August, September,Ocober, November, December, February, March 2019</t>
  </si>
  <si>
    <t>5 Removed, 9 in Process</t>
  </si>
  <si>
    <t>Table: AT-32:  PAB-MDM Approval vs. PERFORMANCE (Primary Classes I to V) during 2018-19 - Drought</t>
  </si>
  <si>
    <t>Table: AT-31 : Budget Provision for the Year 2019-20</t>
  </si>
  <si>
    <t>Table-AT- 23</t>
  </si>
  <si>
    <t>Mid Day Meal Scheme</t>
  </si>
  <si>
    <t xml:space="preserve">Total Institutions </t>
  </si>
  <si>
    <t>No. of Inst. For which Annual data entry completed</t>
  </si>
  <si>
    <t>No. of Inst. For which Monthly data entry completed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</si>
  <si>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</si>
  <si>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</si>
  <si>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</si>
  <si>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</si>
  <si>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</si>
  <si>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</si>
  <si>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</si>
  <si>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</si>
  <si>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</si>
  <si>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Table AT - 23 A- Implementation of Automated Monitoring System  during 2018-19</t>
  </si>
  <si>
    <t>Chhattisgarh</t>
  </si>
  <si>
    <t>No. of Inst. For which daily data transferred to central server</t>
  </si>
  <si>
    <t>Feb</t>
  </si>
  <si>
    <t>March</t>
  </si>
  <si>
    <t>Table: AT 30:    Requirement of Cook cum Helpers for 2019-20</t>
  </si>
  <si>
    <t>Releasing of Funds from State to Directorate / Authority / District / Block / School level during 2018-19</t>
  </si>
  <si>
    <t>Enrolment vis-a-vis availed for MDM  (Upper Primary, Classes VI - VIII) during 2018-19</t>
  </si>
  <si>
    <t>Utilisation of Cooking cost (Upper Primary Classes, VI-VIII) during 2018-19</t>
  </si>
  <si>
    <t>Utilisation of funds towards honorarium to Cook-cum-Helpers (Primary classes I-V) during 2018-19</t>
  </si>
  <si>
    <t>Utilisation of funds towards honorarium to Cook-cum-Helpers (Upper Primary classes VI-VIII) during 2018-19</t>
  </si>
  <si>
    <t>Information on Training of Cook-cum-Helpers</t>
  </si>
  <si>
    <t>Requirement of Kitchen Devices (new) during 2019-20 in Primary &amp; Upper Primary Schools</t>
  </si>
  <si>
    <t>Free of Cost</t>
  </si>
  <si>
    <t>Table AT-3: No. of Institutions in the State vis a vis Institutions serving MDM during 2018-19</t>
  </si>
  <si>
    <t>Table: AT-3B: No. of Institutions covered (Upper Primary with Primary, Classes I-VIII) during 2018-19</t>
  </si>
  <si>
    <t>Table: AT-5 A:  PAB-MDM Approval vs. PERFORMANCE (Upper Primary, Classes VI to VIII) during 2018-19</t>
  </si>
  <si>
    <t>* This information will be used for computing Performance Grading Index (PGI) also.</t>
  </si>
  <si>
    <t>Average No. of children availed MDM [Col. 8/Col. 9]*</t>
  </si>
  <si>
    <t>Table: AT-5 C:  PAB-MDM Approval vs. PERFORMANCE (Primary, Classes I - V) during 2018-19 - Drought</t>
  </si>
  <si>
    <t>Table: AT-6A: Utilisation of foodgrains*  (Upper Primary, Classes VI-VIII) during 2018-19</t>
  </si>
  <si>
    <t>Table: AT-6C: Utilisation of foodgrains (Coarse Grain) during 2018-19</t>
  </si>
  <si>
    <t>Table: AT-7A: Utilisation of Cooking cost* (Upper Primary Classes, VI-VIII) for 2018-19</t>
  </si>
  <si>
    <t>Table: AT-9 : Utilisation of Central Assitance towards Transportation Assistance (Primary &amp; Upper Primary,Classes I-VIII) during 2018-19</t>
  </si>
  <si>
    <t>*Total sanction during 2006-07 to 2018-19</t>
  </si>
  <si>
    <t>Covered through centralised kitchen</t>
  </si>
  <si>
    <t>Amount paid to Children          (In RS)</t>
  </si>
  <si>
    <t>Foodgrain provided to children           (in MT)</t>
  </si>
  <si>
    <t>April  2018</t>
  </si>
  <si>
    <t>Table AT - 23 Annual and Monthly data entry status in MDM-MIS during 2017-18</t>
  </si>
  <si>
    <t>JAN</t>
  </si>
  <si>
    <t xml:space="preserve">March </t>
  </si>
  <si>
    <t>Mode of Data Collection (SMS/IVRS/Mobile App/Web Application/Others)</t>
  </si>
  <si>
    <t>Name of Agency implementing AMS in State</t>
  </si>
  <si>
    <t>Mobile App</t>
  </si>
  <si>
    <t>State Office Programmer</t>
  </si>
  <si>
    <t>Table: AT- 23 A</t>
  </si>
  <si>
    <t>Maximum number of institutions for which daily data transferred during the month</t>
  </si>
  <si>
    <t>Table: AT-29 : Requirement of Kitchen Devices (new) during 2019-20 in Primary &amp; Upper Primary Schools</t>
  </si>
  <si>
    <t>Repair of kitchen-cum-stores</t>
  </si>
  <si>
    <t>Flexi fund @ 5% for new interventions</t>
  </si>
  <si>
    <t>2019-20</t>
  </si>
  <si>
    <t>State / UT:Chhattisgarh</t>
  </si>
  <si>
    <t>Table: AT-27: Proposal for coverage of children and working days  for 2019-20 (Primary Classes, I-V)</t>
  </si>
  <si>
    <t>Requirement of Pulses (in MTs)</t>
  </si>
  <si>
    <t>Requirement of funds for Transportation Assistance</t>
  </si>
  <si>
    <t>Pulse 2 (name)</t>
  </si>
  <si>
    <t>Pulse 3 (name)</t>
  </si>
  <si>
    <t>Pulse 4 (name)</t>
  </si>
  <si>
    <t>Pulse 5 (name)</t>
  </si>
  <si>
    <t>PDS rate (Rs per Quintal)</t>
  </si>
  <si>
    <t>Total Funds required (Rs in lakh)</t>
  </si>
  <si>
    <t>Seal</t>
  </si>
  <si>
    <t>Table: AT-27 A: Proposal for coverage of children and working days  for 2019-20 (Upper Primary,Classes VI-VIII)</t>
  </si>
  <si>
    <t>Tuar Dal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</si>
</sst>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B1mmm/yy"/>
  </numFmts>
  <fonts count="1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Calibri"/>
      <family val="2"/>
    </font>
    <font>
      <i/>
      <u val="single"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b/>
      <sz val="8"/>
      <name val="Arial"/>
      <family val="2"/>
    </font>
    <font>
      <sz val="36"/>
      <name val="Arial"/>
      <family val="2"/>
    </font>
    <font>
      <sz val="28"/>
      <name val="Arial"/>
      <family val="2"/>
    </font>
    <font>
      <i/>
      <sz val="8"/>
      <name val="Arial"/>
      <family val="2"/>
    </font>
    <font>
      <sz val="48"/>
      <name val="Arial"/>
      <family val="2"/>
    </font>
    <font>
      <b/>
      <sz val="7"/>
      <color indexed="8"/>
      <name val="Calibri"/>
      <family val="2"/>
    </font>
    <font>
      <vertAlign val="superscript"/>
      <sz val="11"/>
      <name val="Arial"/>
      <family val="2"/>
    </font>
    <font>
      <i/>
      <sz val="11"/>
      <name val="Trebuchet MS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sz val="11"/>
      <name val="Trebuchet MS"/>
      <family val="2"/>
    </font>
    <font>
      <sz val="14"/>
      <name val="Arial"/>
      <family val="2"/>
    </font>
    <font>
      <b/>
      <sz val="54"/>
      <name val="Calibri"/>
      <family val="0"/>
    </font>
    <font>
      <b/>
      <sz val="44"/>
      <name val="Calibri"/>
      <family val="0"/>
    </font>
    <font>
      <u val="single"/>
      <sz val="10"/>
      <color indexed="12"/>
      <name val="Arial"/>
      <family val="2"/>
    </font>
    <font>
      <b/>
      <i/>
      <sz val="10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3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mbria"/>
      <family val="1"/>
    </font>
    <font>
      <sz val="10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Mangal"/>
      <family val="1"/>
    </font>
    <font>
      <sz val="18"/>
      <color indexed="8"/>
      <name val="Calibri"/>
      <family val="2"/>
    </font>
    <font>
      <sz val="12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Calibri"/>
      <family val="2"/>
    </font>
    <font>
      <sz val="10"/>
      <color indexed="8"/>
      <name val="Trebuchet MS"/>
      <family val="2"/>
    </font>
    <font>
      <sz val="9"/>
      <name val="Cambria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Mangal"/>
      <family val="1"/>
    </font>
    <font>
      <b/>
      <i/>
      <sz val="10"/>
      <name val="Cambria"/>
      <family val="1"/>
    </font>
    <font>
      <sz val="11"/>
      <color indexed="8"/>
      <name val="Cambria"/>
      <family val="1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24"/>
      <color indexed="8"/>
      <name val="Calibri"/>
      <family val="0"/>
    </font>
    <font>
      <sz val="40"/>
      <color indexed="8"/>
      <name val="Calibri"/>
      <family val="0"/>
    </font>
    <font>
      <sz val="54"/>
      <color indexed="8"/>
      <name val="Calibri"/>
      <family val="0"/>
    </font>
    <font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3"/>
      <color theme="1"/>
      <name val="Calibri"/>
      <family val="2"/>
    </font>
    <font>
      <b/>
      <sz val="10"/>
      <color theme="1"/>
      <name val="Arial"/>
      <family val="2"/>
    </font>
    <font>
      <b/>
      <sz val="16"/>
      <color theme="1"/>
      <name val="Calibri"/>
      <family val="2"/>
    </font>
    <font>
      <b/>
      <i/>
      <sz val="10"/>
      <color theme="1"/>
      <name val="Cambria"/>
      <family val="1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sz val="11"/>
      <color rgb="FF000000"/>
      <name val="Mangal"/>
      <family val="1"/>
    </font>
    <font>
      <sz val="10"/>
      <color rgb="FF000000"/>
      <name val="Calibri"/>
      <family val="2"/>
    </font>
    <font>
      <sz val="11"/>
      <color theme="1"/>
      <name val="Arial"/>
      <family val="2"/>
    </font>
    <font>
      <sz val="1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Trebuchet MS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Arial"/>
      <family val="2"/>
    </font>
    <font>
      <sz val="12"/>
      <color rgb="FF000000"/>
      <name val="Mangal"/>
      <family val="1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mbria"/>
      <family val="1"/>
    </font>
    <font>
      <sz val="14"/>
      <color rgb="FF000000"/>
      <name val="Calibri"/>
      <family val="2"/>
    </font>
    <font>
      <sz val="14"/>
      <color rgb="FF000000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 style="thin"/>
    </border>
    <border>
      <left/>
      <right style="thin"/>
      <top/>
      <bottom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7" fillId="20" borderId="0" applyNumberFormat="0" applyBorder="0" applyAlignment="0" applyProtection="0"/>
    <xf numFmtId="0" fontId="107" fillId="21" borderId="0" applyNumberFormat="0" applyBorder="0" applyAlignment="0" applyProtection="0"/>
    <xf numFmtId="0" fontId="107" fillId="22" borderId="0" applyNumberFormat="0" applyBorder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8" fillId="26" borderId="0" applyNumberFormat="0" applyBorder="0" applyAlignment="0" applyProtection="0"/>
    <xf numFmtId="0" fontId="109" fillId="27" borderId="1" applyNumberFormat="0" applyAlignment="0" applyProtection="0"/>
    <xf numFmtId="0" fontId="11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5" fillId="0" borderId="5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30" borderId="1" applyNumberFormat="0" applyAlignment="0" applyProtection="0"/>
    <xf numFmtId="0" fontId="118" fillId="0" borderId="6" applyNumberFormat="0" applyFill="0" applyAlignment="0" applyProtection="0"/>
    <xf numFmtId="0" fontId="119" fillId="31" borderId="0" applyNumberFormat="0" applyBorder="0" applyAlignment="0" applyProtection="0"/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0" fillId="32" borderId="7" applyNumberFormat="0" applyFont="0" applyAlignment="0" applyProtection="0"/>
    <xf numFmtId="0" fontId="120" fillId="27" borderId="8" applyNumberFormat="0" applyAlignment="0" applyProtection="0"/>
    <xf numFmtId="9" fontId="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9" applyNumberFormat="0" applyFill="0" applyAlignment="0" applyProtection="0"/>
    <xf numFmtId="0" fontId="123" fillId="0" borderId="0" applyNumberFormat="0" applyFill="0" applyBorder="0" applyAlignment="0" applyProtection="0"/>
  </cellStyleXfs>
  <cellXfs count="12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6" fillId="0" borderId="0" xfId="0" applyFont="1" applyAlignment="1">
      <alignment/>
    </xf>
    <xf numFmtId="0" fontId="16" fillId="0" borderId="11" xfId="0" applyFont="1" applyBorder="1" applyAlignment="1" quotePrefix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0" fontId="18" fillId="0" borderId="0" xfId="70" applyFont="1">
      <alignment/>
      <protection/>
    </xf>
    <xf numFmtId="0" fontId="19" fillId="0" borderId="11" xfId="70" applyFont="1" applyBorder="1" applyAlignment="1">
      <alignment horizontal="center" vertical="top" wrapText="1"/>
      <protection/>
    </xf>
    <xf numFmtId="0" fontId="106" fillId="0" borderId="0" xfId="70">
      <alignment/>
      <protection/>
    </xf>
    <xf numFmtId="0" fontId="106" fillId="0" borderId="0" xfId="70" applyAlignment="1">
      <alignment horizontal="left"/>
      <protection/>
    </xf>
    <xf numFmtId="0" fontId="20" fillId="0" borderId="0" xfId="70" applyFont="1" applyAlignment="1">
      <alignment horizontal="left"/>
      <protection/>
    </xf>
    <xf numFmtId="0" fontId="106" fillId="0" borderId="16" xfId="70" applyBorder="1" applyAlignment="1">
      <alignment horizontal="center"/>
      <protection/>
    </xf>
    <xf numFmtId="0" fontId="17" fillId="0" borderId="0" xfId="70" applyFont="1">
      <alignment/>
      <protection/>
    </xf>
    <xf numFmtId="0" fontId="17" fillId="0" borderId="0" xfId="70" applyFont="1" applyAlignment="1">
      <alignment horizontal="center"/>
      <protection/>
    </xf>
    <xf numFmtId="0" fontId="106" fillId="0" borderId="11" xfId="70" applyBorder="1">
      <alignment/>
      <protection/>
    </xf>
    <xf numFmtId="0" fontId="106" fillId="0" borderId="0" xfId="70" applyBorder="1">
      <alignment/>
      <protection/>
    </xf>
    <xf numFmtId="0" fontId="2" fillId="0" borderId="0" xfId="0" applyFont="1" applyAlignment="1">
      <alignment vertical="top" wrapText="1"/>
    </xf>
    <xf numFmtId="0" fontId="21" fillId="0" borderId="12" xfId="70" applyFont="1" applyBorder="1" applyAlignment="1">
      <alignment horizontal="center" vertical="top" wrapText="1"/>
      <protection/>
    </xf>
    <xf numFmtId="0" fontId="21" fillId="0" borderId="11" xfId="70" applyFont="1" applyBorder="1" applyAlignment="1">
      <alignment horizontal="center" vertical="top" wrapText="1"/>
      <protection/>
    </xf>
    <xf numFmtId="0" fontId="0" fillId="0" borderId="0" xfId="92">
      <alignment/>
      <protection/>
    </xf>
    <xf numFmtId="0" fontId="11" fillId="0" borderId="0" xfId="92" applyFont="1" applyAlignment="1">
      <alignment horizontal="center"/>
      <protection/>
    </xf>
    <xf numFmtId="0" fontId="5" fillId="0" borderId="0" xfId="92" applyFont="1" applyAlignment="1">
      <alignment horizontal="center"/>
      <protection/>
    </xf>
    <xf numFmtId="0" fontId="4" fillId="0" borderId="0" xfId="92" applyFont="1">
      <alignment/>
      <protection/>
    </xf>
    <xf numFmtId="0" fontId="2" fillId="0" borderId="11" xfId="92" applyFont="1" applyBorder="1" applyAlignment="1">
      <alignment horizontal="center"/>
      <protection/>
    </xf>
    <xf numFmtId="0" fontId="2" fillId="0" borderId="11" xfId="92" applyFont="1" applyBorder="1" applyAlignment="1">
      <alignment horizontal="center" vertical="top" wrapText="1"/>
      <protection/>
    </xf>
    <xf numFmtId="0" fontId="2" fillId="0" borderId="13" xfId="92" applyFont="1" applyBorder="1" applyAlignment="1">
      <alignment horizontal="center" vertical="top" wrapText="1"/>
      <protection/>
    </xf>
    <xf numFmtId="0" fontId="0" fillId="0" borderId="11" xfId="92" applyBorder="1">
      <alignment/>
      <protection/>
    </xf>
    <xf numFmtId="0" fontId="0" fillId="0" borderId="0" xfId="92" applyFill="1" applyBorder="1" applyAlignment="1">
      <alignment horizontal="left"/>
      <protection/>
    </xf>
    <xf numFmtId="0" fontId="2" fillId="0" borderId="0" xfId="92" applyFont="1" applyBorder="1" applyAlignment="1">
      <alignment horizontal="center"/>
      <protection/>
    </xf>
    <xf numFmtId="0" fontId="0" fillId="0" borderId="0" xfId="92" applyBorder="1">
      <alignment/>
      <protection/>
    </xf>
    <xf numFmtId="0" fontId="6" fillId="0" borderId="0" xfId="92" applyFont="1">
      <alignment/>
      <protection/>
    </xf>
    <xf numFmtId="0" fontId="2" fillId="0" borderId="0" xfId="92" applyFont="1">
      <alignment/>
      <protection/>
    </xf>
    <xf numFmtId="0" fontId="3" fillId="0" borderId="0" xfId="92" applyFont="1" applyAlignment="1">
      <alignment/>
      <protection/>
    </xf>
    <xf numFmtId="0" fontId="16" fillId="0" borderId="16" xfId="0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2" fillId="0" borderId="18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8" fillId="0" borderId="11" xfId="70" applyFont="1" applyBorder="1">
      <alignment/>
      <protection/>
    </xf>
    <xf numFmtId="0" fontId="18" fillId="0" borderId="0" xfId="70" applyFont="1" applyBorder="1">
      <alignment/>
      <protection/>
    </xf>
    <xf numFmtId="0" fontId="2" fillId="0" borderId="19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23" fillId="0" borderId="0" xfId="70" applyFont="1">
      <alignment/>
      <protection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7" fillId="0" borderId="0" xfId="70" applyFont="1" applyBorder="1" applyAlignment="1">
      <alignment horizontal="center"/>
      <protection/>
    </xf>
    <xf numFmtId="0" fontId="19" fillId="0" borderId="12" xfId="70" applyFont="1" applyBorder="1" applyAlignment="1">
      <alignment horizontal="center" vertical="top" wrapText="1"/>
      <protection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92" applyFont="1" applyAlignment="1">
      <alignment horizontal="center"/>
      <protection/>
    </xf>
    <xf numFmtId="0" fontId="17" fillId="0" borderId="11" xfId="70" applyFont="1" applyBorder="1" applyAlignment="1">
      <alignment horizontal="center"/>
      <protection/>
    </xf>
    <xf numFmtId="0" fontId="17" fillId="0" borderId="0" xfId="70" applyFont="1" applyAlignment="1">
      <alignment horizontal="center" vertical="top" wrapText="1"/>
      <protection/>
    </xf>
    <xf numFmtId="0" fontId="17" fillId="0" borderId="11" xfId="70" applyFont="1" applyBorder="1" applyAlignment="1">
      <alignment horizontal="center" vertical="top" wrapText="1"/>
      <protection/>
    </xf>
    <xf numFmtId="0" fontId="10" fillId="0" borderId="0" xfId="92" applyFont="1" applyAlignment="1">
      <alignment/>
      <protection/>
    </xf>
    <xf numFmtId="0" fontId="16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2" fillId="0" borderId="19" xfId="92" applyFont="1" applyFill="1" applyBorder="1" applyAlignment="1">
      <alignment horizontal="center" vertical="top" wrapText="1"/>
      <protection/>
    </xf>
    <xf numFmtId="0" fontId="0" fillId="0" borderId="0" xfId="92" applyAlignment="1">
      <alignment horizontal="left"/>
      <protection/>
    </xf>
    <xf numFmtId="0" fontId="6" fillId="0" borderId="0" xfId="92" applyFont="1" applyAlignment="1">
      <alignment vertical="top" wrapText="1"/>
      <protection/>
    </xf>
    <xf numFmtId="0" fontId="13" fillId="0" borderId="0" xfId="0" applyFont="1" applyAlignment="1">
      <alignment horizontal="left"/>
    </xf>
    <xf numFmtId="0" fontId="0" fillId="0" borderId="0" xfId="70" applyFont="1">
      <alignment/>
      <protection/>
    </xf>
    <xf numFmtId="0" fontId="5" fillId="0" borderId="0" xfId="70" applyFont="1" applyAlignment="1">
      <alignment horizontal="center"/>
      <protection/>
    </xf>
    <xf numFmtId="0" fontId="2" fillId="0" borderId="11" xfId="70" applyFont="1" applyBorder="1" applyAlignment="1">
      <alignment horizontal="center" vertical="top" wrapText="1"/>
      <protection/>
    </xf>
    <xf numFmtId="0" fontId="0" fillId="0" borderId="11" xfId="70" applyFont="1" applyBorder="1">
      <alignment/>
      <protection/>
    </xf>
    <xf numFmtId="0" fontId="8" fillId="0" borderId="11" xfId="70" applyFont="1" applyBorder="1">
      <alignment/>
      <protection/>
    </xf>
    <xf numFmtId="0" fontId="8" fillId="0" borderId="0" xfId="70" applyFont="1">
      <alignment/>
      <protection/>
    </xf>
    <xf numFmtId="0" fontId="2" fillId="0" borderId="11" xfId="70" applyFont="1" applyBorder="1">
      <alignment/>
      <protection/>
    </xf>
    <xf numFmtId="0" fontId="16" fillId="0" borderId="11" xfId="70" applyFont="1" applyBorder="1" applyAlignment="1">
      <alignment horizontal="center"/>
      <protection/>
    </xf>
    <xf numFmtId="0" fontId="16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0" fillId="0" borderId="11" xfId="0" applyFont="1" applyBorder="1" applyAlignment="1">
      <alignment wrapText="1"/>
    </xf>
    <xf numFmtId="0" fontId="27" fillId="0" borderId="19" xfId="70" applyFont="1" applyBorder="1" applyAlignment="1">
      <alignment horizontal="center" wrapText="1"/>
      <protection/>
    </xf>
    <xf numFmtId="0" fontId="27" fillId="0" borderId="10" xfId="70" applyFont="1" applyBorder="1" applyAlignment="1">
      <alignment horizontal="center"/>
      <protection/>
    </xf>
    <xf numFmtId="0" fontId="2" fillId="0" borderId="20" xfId="92" applyFont="1" applyFill="1" applyBorder="1" applyAlignment="1">
      <alignment horizontal="center" vertical="top" wrapText="1"/>
      <protection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21" fillId="0" borderId="14" xfId="70" applyFont="1" applyBorder="1" applyAlignment="1">
      <alignment horizontal="center" vertical="top" wrapText="1"/>
      <protection/>
    </xf>
    <xf numFmtId="0" fontId="14" fillId="0" borderId="0" xfId="0" applyFont="1" applyAlignment="1">
      <alignment horizontal="center"/>
    </xf>
    <xf numFmtId="0" fontId="29" fillId="0" borderId="0" xfId="70" applyFont="1" applyAlignment="1">
      <alignment horizontal="center"/>
      <protection/>
    </xf>
    <xf numFmtId="0" fontId="0" fillId="0" borderId="11" xfId="92" applyFont="1" applyBorder="1" applyAlignment="1">
      <alignment horizontal="center" vertical="top" wrapText="1"/>
      <protection/>
    </xf>
    <xf numFmtId="0" fontId="0" fillId="0" borderId="0" xfId="92" applyFont="1">
      <alignment/>
      <protection/>
    </xf>
    <xf numFmtId="0" fontId="2" fillId="0" borderId="11" xfId="70" applyFont="1" applyBorder="1" applyAlignment="1">
      <alignment horizont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top"/>
    </xf>
    <xf numFmtId="0" fontId="16" fillId="0" borderId="11" xfId="92" applyFont="1" applyBorder="1" applyAlignment="1">
      <alignment horizontal="center" wrapText="1"/>
      <protection/>
    </xf>
    <xf numFmtId="0" fontId="16" fillId="0" borderId="0" xfId="0" applyFont="1" applyAlignment="1">
      <alignment horizontal="center" vertical="top" wrapText="1"/>
    </xf>
    <xf numFmtId="0" fontId="2" fillId="0" borderId="11" xfId="92" applyFont="1" applyBorder="1" applyAlignment="1">
      <alignment horizontal="left" vertical="center" wrapText="1"/>
      <protection/>
    </xf>
    <xf numFmtId="0" fontId="2" fillId="0" borderId="11" xfId="92" applyFont="1" applyBorder="1" applyAlignment="1">
      <alignment horizontal="left" vertical="center"/>
      <protection/>
    </xf>
    <xf numFmtId="0" fontId="7" fillId="0" borderId="11" xfId="92" applyFont="1" applyBorder="1" applyAlignment="1">
      <alignment horizontal="left" vertical="center" wrapText="1"/>
      <protection/>
    </xf>
    <xf numFmtId="0" fontId="0" fillId="0" borderId="0" xfId="93">
      <alignment/>
      <protection/>
    </xf>
    <xf numFmtId="0" fontId="6" fillId="0" borderId="0" xfId="93" applyFont="1" applyAlignment="1">
      <alignment/>
      <protection/>
    </xf>
    <xf numFmtId="0" fontId="11" fillId="0" borderId="0" xfId="93" applyFont="1" applyAlignment="1">
      <alignment/>
      <protection/>
    </xf>
    <xf numFmtId="0" fontId="4" fillId="0" borderId="0" xfId="93" applyFont="1">
      <alignment/>
      <protection/>
    </xf>
    <xf numFmtId="0" fontId="16" fillId="0" borderId="11" xfId="93" applyFont="1" applyBorder="1" applyAlignment="1">
      <alignment horizontal="center" vertical="top" wrapText="1"/>
      <protection/>
    </xf>
    <xf numFmtId="0" fontId="16" fillId="0" borderId="0" xfId="93" applyFont="1">
      <alignment/>
      <protection/>
    </xf>
    <xf numFmtId="0" fontId="16" fillId="0" borderId="11" xfId="93" applyFont="1" applyBorder="1">
      <alignment/>
      <protection/>
    </xf>
    <xf numFmtId="0" fontId="16" fillId="0" borderId="0" xfId="93" applyFont="1" applyBorder="1">
      <alignment/>
      <protection/>
    </xf>
    <xf numFmtId="0" fontId="2" fillId="0" borderId="0" xfId="93" applyFont="1">
      <alignment/>
      <protection/>
    </xf>
    <xf numFmtId="0" fontId="16" fillId="0" borderId="11" xfId="93" applyFont="1" applyBorder="1" applyAlignment="1">
      <alignment horizontal="center"/>
      <protection/>
    </xf>
    <xf numFmtId="0" fontId="2" fillId="0" borderId="11" xfId="93" applyFont="1" applyBorder="1">
      <alignment/>
      <protection/>
    </xf>
    <xf numFmtId="0" fontId="2" fillId="0" borderId="11" xfId="93" applyFont="1" applyBorder="1" applyAlignment="1">
      <alignment horizontal="center"/>
      <protection/>
    </xf>
    <xf numFmtId="0" fontId="2" fillId="0" borderId="11" xfId="93" applyFont="1" applyBorder="1" applyAlignment="1">
      <alignment horizontal="left"/>
      <protection/>
    </xf>
    <xf numFmtId="0" fontId="0" fillId="0" borderId="11" xfId="93" applyBorder="1">
      <alignment/>
      <protection/>
    </xf>
    <xf numFmtId="0" fontId="2" fillId="0" borderId="11" xfId="93" applyFont="1" applyBorder="1" applyAlignment="1">
      <alignment horizontal="left" wrapText="1"/>
      <protection/>
    </xf>
    <xf numFmtId="0" fontId="0" fillId="0" borderId="0" xfId="93" applyFill="1" applyBorder="1" applyAlignment="1">
      <alignment horizontal="left"/>
      <protection/>
    </xf>
    <xf numFmtId="0" fontId="6" fillId="0" borderId="0" xfId="93" applyFont="1">
      <alignment/>
      <protection/>
    </xf>
    <xf numFmtId="0" fontId="0" fillId="0" borderId="0" xfId="100">
      <alignment/>
      <protection/>
    </xf>
    <xf numFmtId="0" fontId="3" fillId="0" borderId="0" xfId="100" applyFont="1" applyAlignment="1">
      <alignment horizontal="right"/>
      <protection/>
    </xf>
    <xf numFmtId="0" fontId="4" fillId="0" borderId="0" xfId="100" applyFont="1" applyAlignment="1">
      <alignment horizontal="right"/>
      <protection/>
    </xf>
    <xf numFmtId="0" fontId="2" fillId="0" borderId="11" xfId="100" applyFont="1" applyBorder="1" applyAlignment="1">
      <alignment horizontal="center" vertical="center"/>
      <protection/>
    </xf>
    <xf numFmtId="0" fontId="12" fillId="0" borderId="11" xfId="100" applyFont="1" applyBorder="1" applyAlignment="1">
      <alignment horizontal="left" vertical="top" wrapText="1"/>
      <protection/>
    </xf>
    <xf numFmtId="0" fontId="12" fillId="0" borderId="11" xfId="100" applyFont="1" applyBorder="1" applyAlignment="1">
      <alignment horizontal="center" vertical="top" wrapText="1"/>
      <protection/>
    </xf>
    <xf numFmtId="0" fontId="124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 vertical="top" wrapText="1"/>
    </xf>
    <xf numFmtId="0" fontId="35" fillId="0" borderId="11" xfId="0" applyFont="1" applyBorder="1" applyAlignment="1" quotePrefix="1">
      <alignment horizontal="center" vertical="top" wrapText="1"/>
    </xf>
    <xf numFmtId="0" fontId="0" fillId="33" borderId="11" xfId="0" applyFill="1" applyBorder="1" applyAlignment="1">
      <alignment/>
    </xf>
    <xf numFmtId="0" fontId="2" fillId="0" borderId="0" xfId="70" applyFont="1">
      <alignment/>
      <protection/>
    </xf>
    <xf numFmtId="0" fontId="2" fillId="0" borderId="0" xfId="70" applyFont="1" applyAlignment="1">
      <alignment/>
      <protection/>
    </xf>
    <xf numFmtId="0" fontId="2" fillId="0" borderId="0" xfId="70" applyFont="1" applyBorder="1" applyAlignment="1">
      <alignment/>
      <protection/>
    </xf>
    <xf numFmtId="0" fontId="2" fillId="0" borderId="0" xfId="70" applyFont="1" applyBorder="1">
      <alignment/>
      <protection/>
    </xf>
    <xf numFmtId="0" fontId="2" fillId="0" borderId="0" xfId="70" applyFont="1" applyBorder="1" applyAlignment="1">
      <alignment horizontal="center" vertical="top" wrapText="1"/>
      <protection/>
    </xf>
    <xf numFmtId="0" fontId="14" fillId="0" borderId="0" xfId="70" applyFont="1" applyBorder="1" applyAlignment="1">
      <alignment horizontal="left"/>
      <protection/>
    </xf>
    <xf numFmtId="0" fontId="12" fillId="0" borderId="0" xfId="70" applyFont="1" applyBorder="1" applyAlignment="1">
      <alignment/>
      <protection/>
    </xf>
    <xf numFmtId="0" fontId="2" fillId="0" borderId="11" xfId="70" applyFont="1" applyBorder="1" applyAlignment="1">
      <alignment vertical="top" wrapText="1"/>
      <protection/>
    </xf>
    <xf numFmtId="0" fontId="2" fillId="0" borderId="0" xfId="70" applyFont="1" applyAlignment="1">
      <alignment vertical="top" wrapText="1"/>
      <protection/>
    </xf>
    <xf numFmtId="0" fontId="14" fillId="0" borderId="0" xfId="70" applyFont="1" applyBorder="1" applyAlignment="1">
      <alignment wrapText="1"/>
      <protection/>
    </xf>
    <xf numFmtId="0" fontId="2" fillId="33" borderId="11" xfId="70" applyFont="1" applyFill="1" applyBorder="1" applyAlignment="1" quotePrefix="1">
      <alignment horizontal="center" vertical="center" wrapText="1"/>
      <protection/>
    </xf>
    <xf numFmtId="0" fontId="16" fillId="33" borderId="12" xfId="70" applyFont="1" applyFill="1" applyBorder="1" applyAlignment="1" quotePrefix="1">
      <alignment horizontal="center" vertical="center" wrapText="1"/>
      <protection/>
    </xf>
    <xf numFmtId="0" fontId="2" fillId="0" borderId="0" xfId="70" applyFont="1" applyBorder="1" applyAlignment="1">
      <alignment horizontal="left" vertical="center"/>
      <protection/>
    </xf>
    <xf numFmtId="0" fontId="2" fillId="0" borderId="11" xfId="70" applyFont="1" applyBorder="1" applyAlignment="1">
      <alignment horizontal="center" vertical="center"/>
      <protection/>
    </xf>
    <xf numFmtId="0" fontId="2" fillId="0" borderId="11" xfId="70" applyFont="1" applyBorder="1" applyAlignment="1">
      <alignment horizontal="left" vertical="center"/>
      <protection/>
    </xf>
    <xf numFmtId="0" fontId="2" fillId="0" borderId="0" xfId="70" applyFont="1" applyAlignment="1">
      <alignment horizontal="left" vertical="center"/>
      <protection/>
    </xf>
    <xf numFmtId="0" fontId="0" fillId="0" borderId="0" xfId="0" applyBorder="1" applyAlignment="1">
      <alignment horizontal="center"/>
    </xf>
    <xf numFmtId="0" fontId="125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26" fillId="0" borderId="11" xfId="0" applyFont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0" fontId="14" fillId="0" borderId="11" xfId="0" applyFont="1" applyBorder="1" applyAlignment="1">
      <alignment horizontal="center" vertical="center"/>
    </xf>
    <xf numFmtId="0" fontId="2" fillId="0" borderId="11" xfId="92" applyFont="1" applyFill="1" applyBorder="1" applyAlignment="1">
      <alignment horizontal="left" vertical="center" wrapText="1"/>
      <protection/>
    </xf>
    <xf numFmtId="0" fontId="0" fillId="33" borderId="0" xfId="70" applyFont="1" applyFill="1">
      <alignment/>
      <protection/>
    </xf>
    <xf numFmtId="0" fontId="16" fillId="33" borderId="11" xfId="70" applyFont="1" applyFill="1" applyBorder="1" applyAlignment="1">
      <alignment horizontal="center"/>
      <protection/>
    </xf>
    <xf numFmtId="0" fontId="5" fillId="33" borderId="11" xfId="70" applyFont="1" applyFill="1" applyBorder="1" applyAlignment="1">
      <alignment horizontal="center"/>
      <protection/>
    </xf>
    <xf numFmtId="0" fontId="8" fillId="33" borderId="11" xfId="70" applyFont="1" applyFill="1" applyBorder="1" applyAlignment="1">
      <alignment horizontal="left"/>
      <protection/>
    </xf>
    <xf numFmtId="0" fontId="6" fillId="33" borderId="11" xfId="70" applyFont="1" applyFill="1" applyBorder="1" applyAlignment="1">
      <alignment vertical="top" wrapText="1"/>
      <protection/>
    </xf>
    <xf numFmtId="0" fontId="0" fillId="33" borderId="11" xfId="70" applyFont="1" applyFill="1" applyBorder="1" applyAlignment="1">
      <alignment/>
      <protection/>
    </xf>
    <xf numFmtId="0" fontId="0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11" fillId="33" borderId="0" xfId="0" applyFont="1" applyFill="1" applyAlignment="1">
      <alignment/>
    </xf>
    <xf numFmtId="0" fontId="2" fillId="0" borderId="0" xfId="92" applyFont="1" applyAlignment="1">
      <alignment/>
      <protection/>
    </xf>
    <xf numFmtId="0" fontId="16" fillId="0" borderId="0" xfId="92" applyFont="1" applyAlignment="1">
      <alignment horizontal="right"/>
      <protection/>
    </xf>
    <xf numFmtId="0" fontId="9" fillId="0" borderId="11" xfId="0" applyFont="1" applyBorder="1" applyAlignment="1">
      <alignment horizontal="center"/>
    </xf>
    <xf numFmtId="0" fontId="122" fillId="0" borderId="11" xfId="70" applyFont="1" applyBorder="1">
      <alignment/>
      <protection/>
    </xf>
    <xf numFmtId="0" fontId="127" fillId="0" borderId="11" xfId="70" applyFont="1" applyBorder="1">
      <alignment/>
      <protection/>
    </xf>
    <xf numFmtId="0" fontId="19" fillId="0" borderId="11" xfId="70" applyFont="1" applyBorder="1">
      <alignment/>
      <protection/>
    </xf>
    <xf numFmtId="0" fontId="35" fillId="0" borderId="12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2" fillId="0" borderId="17" xfId="0" applyFont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128" fillId="0" borderId="0" xfId="0" applyFont="1" applyAlignment="1">
      <alignment/>
    </xf>
    <xf numFmtId="0" fontId="0" fillId="0" borderId="11" xfId="94" applyFont="1" applyBorder="1" applyAlignment="1">
      <alignment horizontal="center" vertical="center"/>
      <protection/>
    </xf>
    <xf numFmtId="0" fontId="129" fillId="0" borderId="11" xfId="72" applyFont="1" applyBorder="1" applyAlignment="1">
      <alignment horizontal="left" vertical="center"/>
      <protection/>
    </xf>
    <xf numFmtId="0" fontId="0" fillId="33" borderId="11" xfId="94" applyFont="1" applyFill="1" applyBorder="1" applyAlignment="1">
      <alignment horizontal="center" vertical="center"/>
      <protection/>
    </xf>
    <xf numFmtId="0" fontId="129" fillId="33" borderId="11" xfId="72" applyFont="1" applyFill="1" applyBorder="1" applyAlignment="1">
      <alignment horizontal="left" vertical="center"/>
      <protection/>
    </xf>
    <xf numFmtId="0" fontId="63" fillId="33" borderId="11" xfId="72" applyFont="1" applyFill="1" applyBorder="1" applyAlignment="1">
      <alignment horizontal="left" vertical="center"/>
      <protection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/>
    </xf>
    <xf numFmtId="0" fontId="9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2" fontId="9" fillId="0" borderId="11" xfId="0" applyNumberFormat="1" applyFont="1" applyBorder="1" applyAlignment="1">
      <alignment horizontal="right"/>
    </xf>
    <xf numFmtId="1" fontId="0" fillId="0" borderId="11" xfId="0" applyNumberFormat="1" applyBorder="1" applyAlignment="1">
      <alignment/>
    </xf>
    <xf numFmtId="0" fontId="0" fillId="0" borderId="11" xfId="0" applyFont="1" applyBorder="1" applyAlignment="1">
      <alignment horizontal="right" vertical="center"/>
    </xf>
    <xf numFmtId="2" fontId="0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/>
    </xf>
    <xf numFmtId="2" fontId="9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0" fontId="2" fillId="33" borderId="14" xfId="0" applyFont="1" applyFill="1" applyBorder="1" applyAlignment="1">
      <alignment horizontal="center" vertical="top" wrapText="1"/>
    </xf>
    <xf numFmtId="0" fontId="129" fillId="0" borderId="11" xfId="72" applyFont="1" applyFill="1" applyBorder="1" applyAlignment="1">
      <alignment horizontal="left" vertical="center"/>
      <protection/>
    </xf>
    <xf numFmtId="0" fontId="6" fillId="0" borderId="11" xfId="0" applyFont="1" applyBorder="1" applyAlignment="1">
      <alignment vertical="center"/>
    </xf>
    <xf numFmtId="0" fontId="16" fillId="0" borderId="11" xfId="0" applyFont="1" applyBorder="1" applyAlignment="1" quotePrefix="1">
      <alignment horizontal="right" vertical="top" wrapText="1"/>
    </xf>
    <xf numFmtId="0" fontId="0" fillId="0" borderId="11" xfId="0" applyFont="1" applyBorder="1" applyAlignment="1" quotePrefix="1">
      <alignment horizontal="right" vertical="top" wrapText="1"/>
    </xf>
    <xf numFmtId="0" fontId="0" fillId="33" borderId="11" xfId="0" applyFont="1" applyFill="1" applyBorder="1" applyAlignment="1">
      <alignment horizontal="right"/>
    </xf>
    <xf numFmtId="0" fontId="6" fillId="0" borderId="11" xfId="0" applyFont="1" applyBorder="1" applyAlignment="1">
      <alignment horizontal="right" vertical="center"/>
    </xf>
    <xf numFmtId="0" fontId="106" fillId="0" borderId="11" xfId="101" applyBorder="1">
      <alignment/>
      <protection/>
    </xf>
    <xf numFmtId="0" fontId="106" fillId="0" borderId="11" xfId="105" applyBorder="1" applyAlignment="1">
      <alignment horizontal="center"/>
      <protection/>
    </xf>
    <xf numFmtId="0" fontId="122" fillId="0" borderId="11" xfId="105" applyFont="1" applyBorder="1" applyAlignment="1">
      <alignment horizontal="center"/>
      <protection/>
    </xf>
    <xf numFmtId="0" fontId="106" fillId="0" borderId="11" xfId="105" applyBorder="1" applyAlignment="1">
      <alignment horizontal="right"/>
      <protection/>
    </xf>
    <xf numFmtId="0" fontId="0" fillId="0" borderId="0" xfId="0" applyAlignment="1">
      <alignment vertical="center"/>
    </xf>
    <xf numFmtId="0" fontId="130" fillId="0" borderId="11" xfId="107" applyFont="1" applyBorder="1">
      <alignment/>
      <protection/>
    </xf>
    <xf numFmtId="0" fontId="0" fillId="0" borderId="11" xfId="0" applyFont="1" applyBorder="1" applyAlignment="1" quotePrefix="1">
      <alignment horizontal="center"/>
    </xf>
    <xf numFmtId="0" fontId="106" fillId="0" borderId="11" xfId="69" applyBorder="1">
      <alignment/>
      <protection/>
    </xf>
    <xf numFmtId="0" fontId="106" fillId="0" borderId="11" xfId="57" applyFont="1" applyBorder="1">
      <alignment/>
      <protection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7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1" fontId="2" fillId="0" borderId="15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2" fontId="2" fillId="0" borderId="0" xfId="0" applyNumberFormat="1" applyFont="1" applyAlignment="1">
      <alignment/>
    </xf>
    <xf numFmtId="2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right" vertical="center" wrapText="1"/>
    </xf>
    <xf numFmtId="2" fontId="0" fillId="0" borderId="11" xfId="0" applyNumberFormat="1" applyFont="1" applyBorder="1" applyAlignment="1">
      <alignment horizontal="right" vertical="center" wrapText="1"/>
    </xf>
    <xf numFmtId="2" fontId="0" fillId="0" borderId="11" xfId="0" applyNumberFormat="1" applyFont="1" applyBorder="1" applyAlignment="1">
      <alignment horizontal="right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0" fillId="0" borderId="14" xfId="0" applyNumberFormat="1" applyFont="1" applyBorder="1" applyAlignment="1">
      <alignment horizontal="right" vertical="top" wrapText="1"/>
    </xf>
    <xf numFmtId="2" fontId="0" fillId="0" borderId="11" xfId="0" applyNumberFormat="1" applyFont="1" applyBorder="1" applyAlignment="1">
      <alignment vertical="center" wrapText="1"/>
    </xf>
    <xf numFmtId="2" fontId="0" fillId="0" borderId="11" xfId="70" applyNumberFormat="1" applyFont="1" applyBorder="1" applyAlignment="1">
      <alignment horizontal="right"/>
      <protection/>
    </xf>
    <xf numFmtId="2" fontId="0" fillId="0" borderId="11" xfId="70" applyNumberFormat="1" applyFont="1" applyFill="1" applyBorder="1" applyAlignment="1">
      <alignment horizontal="right"/>
      <protection/>
    </xf>
    <xf numFmtId="0" fontId="2" fillId="0" borderId="14" xfId="0" applyFont="1" applyBorder="1" applyAlignment="1">
      <alignment vertical="center" wrapText="1"/>
    </xf>
    <xf numFmtId="2" fontId="0" fillId="35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vertical="top" wrapText="1"/>
    </xf>
    <xf numFmtId="2" fontId="9" fillId="0" borderId="11" xfId="0" applyNumberFormat="1" applyFont="1" applyBorder="1" applyAlignment="1">
      <alignment vertical="top" wrapText="1"/>
    </xf>
    <xf numFmtId="2" fontId="2" fillId="0" borderId="11" xfId="0" applyNumberFormat="1" applyFont="1" applyBorder="1" applyAlignment="1">
      <alignment horizontal="right"/>
    </xf>
    <xf numFmtId="0" fontId="0" fillId="0" borderId="11" xfId="94" applyFont="1" applyBorder="1" applyAlignment="1">
      <alignment horizontal="right" vertical="center"/>
      <protection/>
    </xf>
    <xf numFmtId="0" fontId="2" fillId="0" borderId="10" xfId="92" applyFont="1" applyBorder="1" applyAlignment="1">
      <alignment horizontal="center" vertical="top" wrapText="1"/>
      <protection/>
    </xf>
    <xf numFmtId="2" fontId="2" fillId="0" borderId="11" xfId="70" applyNumberFormat="1" applyFont="1" applyBorder="1">
      <alignment/>
      <protection/>
    </xf>
    <xf numFmtId="0" fontId="131" fillId="0" borderId="11" xfId="72" applyFont="1" applyFill="1" applyBorder="1" applyAlignment="1">
      <alignment horizontal="left" vertical="center"/>
      <protection/>
    </xf>
    <xf numFmtId="0" fontId="2" fillId="0" borderId="11" xfId="0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2" fontId="11" fillId="0" borderId="11" xfId="0" applyNumberFormat="1" applyFont="1" applyBorder="1" applyAlignment="1">
      <alignment horizontal="center" vertical="top" wrapText="1"/>
    </xf>
    <xf numFmtId="1" fontId="2" fillId="33" borderId="11" xfId="0" applyNumberFormat="1" applyFont="1" applyFill="1" applyBorder="1" applyAlignment="1">
      <alignment horizontal="right" vertical="top" wrapText="1"/>
    </xf>
    <xf numFmtId="1" fontId="0" fillId="33" borderId="11" xfId="0" applyNumberFormat="1" applyFont="1" applyFill="1" applyBorder="1" applyAlignment="1">
      <alignment horizontal="right" vertical="center" wrapText="1"/>
    </xf>
    <xf numFmtId="1" fontId="0" fillId="33" borderId="11" xfId="0" applyNumberFormat="1" applyFont="1" applyFill="1" applyBorder="1" applyAlignment="1">
      <alignment horizontal="right" vertical="top" wrapText="1"/>
    </xf>
    <xf numFmtId="1" fontId="2" fillId="33" borderId="11" xfId="0" applyNumberFormat="1" applyFont="1" applyFill="1" applyBorder="1" applyAlignment="1">
      <alignment/>
    </xf>
    <xf numFmtId="2" fontId="0" fillId="33" borderId="11" xfId="0" applyNumberFormat="1" applyFont="1" applyFill="1" applyBorder="1" applyAlignment="1">
      <alignment horizontal="right" vertical="center" wrapText="1"/>
    </xf>
    <xf numFmtId="2" fontId="0" fillId="33" borderId="11" xfId="0" applyNumberFormat="1" applyFont="1" applyFill="1" applyBorder="1" applyAlignment="1">
      <alignment horizontal="right" vertical="top" wrapText="1"/>
    </xf>
    <xf numFmtId="0" fontId="0" fillId="33" borderId="11" xfId="0" applyFont="1" applyFill="1" applyBorder="1" applyAlignment="1">
      <alignment horizontal="right" vertical="top" wrapText="1"/>
    </xf>
    <xf numFmtId="2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right" vertical="center"/>
    </xf>
    <xf numFmtId="2" fontId="0" fillId="33" borderId="11" xfId="0" applyNumberFormat="1" applyFont="1" applyFill="1" applyBorder="1" applyAlignment="1">
      <alignment horizontal="right"/>
    </xf>
    <xf numFmtId="0" fontId="2" fillId="0" borderId="21" xfId="92" applyFont="1" applyBorder="1" applyAlignment="1">
      <alignment horizontal="center" vertical="top" wrapText="1"/>
      <protection/>
    </xf>
    <xf numFmtId="0" fontId="2" fillId="0" borderId="22" xfId="92" applyFont="1" applyBorder="1" applyAlignment="1">
      <alignment horizontal="center" vertical="top" wrapText="1"/>
      <protection/>
    </xf>
    <xf numFmtId="0" fontId="0" fillId="0" borderId="12" xfId="92" applyBorder="1">
      <alignment/>
      <protection/>
    </xf>
    <xf numFmtId="2" fontId="19" fillId="0" borderId="11" xfId="70" applyNumberFormat="1" applyFont="1" applyBorder="1">
      <alignment/>
      <protection/>
    </xf>
    <xf numFmtId="0" fontId="6" fillId="0" borderId="11" xfId="92" applyFont="1" applyBorder="1" applyAlignment="1">
      <alignment horizontal="center" vertical="center"/>
      <protection/>
    </xf>
    <xf numFmtId="14" fontId="12" fillId="0" borderId="11" xfId="100" applyNumberFormat="1" applyFont="1" applyBorder="1" applyAlignment="1">
      <alignment horizontal="center" vertical="top" wrapText="1"/>
      <protection/>
    </xf>
    <xf numFmtId="0" fontId="2" fillId="0" borderId="11" xfId="70" applyFont="1" applyBorder="1" applyAlignment="1">
      <alignment vertical="center"/>
      <protection/>
    </xf>
    <xf numFmtId="0" fontId="2" fillId="0" borderId="11" xfId="71" applyFont="1" applyBorder="1" applyAlignment="1">
      <alignment horizontal="left" vertical="center"/>
      <protection/>
    </xf>
    <xf numFmtId="0" fontId="12" fillId="0" borderId="11" xfId="71" applyFont="1" applyBorder="1" applyAlignment="1">
      <alignment horizontal="center" vertical="center"/>
      <protection/>
    </xf>
    <xf numFmtId="0" fontId="2" fillId="0" borderId="11" xfId="71" applyFont="1" applyBorder="1" applyAlignment="1">
      <alignment horizontal="center" vertical="center"/>
      <protection/>
    </xf>
    <xf numFmtId="0" fontId="2" fillId="0" borderId="11" xfId="71" applyFont="1" applyBorder="1" applyAlignment="1">
      <alignment horizontal="left"/>
      <protection/>
    </xf>
    <xf numFmtId="0" fontId="12" fillId="0" borderId="11" xfId="71" applyFont="1" applyBorder="1" applyAlignment="1">
      <alignment horizontal="center" vertical="center" wrapText="1"/>
      <protection/>
    </xf>
    <xf numFmtId="0" fontId="2" fillId="0" borderId="11" xfId="71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6" fillId="0" borderId="11" xfId="102" applyBorder="1">
      <alignment/>
      <protection/>
    </xf>
    <xf numFmtId="0" fontId="0" fillId="0" borderId="11" xfId="102" applyFont="1" applyBorder="1">
      <alignment/>
      <protection/>
    </xf>
    <xf numFmtId="0" fontId="2" fillId="0" borderId="0" xfId="70" applyFont="1" applyAlignment="1">
      <alignment horizontal="center" vertical="top" wrapText="1"/>
      <protection/>
    </xf>
    <xf numFmtId="0" fontId="6" fillId="0" borderId="0" xfId="0" applyFont="1" applyAlignment="1">
      <alignment vertical="top" wrapText="1"/>
    </xf>
    <xf numFmtId="0" fontId="0" fillId="0" borderId="0" xfId="0" applyAlignment="1">
      <alignment/>
    </xf>
    <xf numFmtId="0" fontId="14" fillId="0" borderId="0" xfId="0" applyFont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/>
    </xf>
    <xf numFmtId="0" fontId="122" fillId="0" borderId="0" xfId="70" applyFont="1" applyBorder="1" applyAlignment="1">
      <alignment vertical="top"/>
      <protection/>
    </xf>
    <xf numFmtId="0" fontId="106" fillId="0" borderId="11" xfId="108" applyBorder="1" applyAlignment="1">
      <alignment horizontal="right"/>
      <protection/>
    </xf>
    <xf numFmtId="0" fontId="122" fillId="0" borderId="11" xfId="108" applyFont="1" applyBorder="1" applyAlignment="1">
      <alignment horizontal="right"/>
      <protection/>
    </xf>
    <xf numFmtId="2" fontId="0" fillId="0" borderId="0" xfId="0" applyNumberFormat="1" applyFont="1" applyAlignment="1">
      <alignment/>
    </xf>
    <xf numFmtId="0" fontId="2" fillId="33" borderId="0" xfId="0" applyFont="1" applyFill="1" applyAlignment="1">
      <alignment horizontal="left"/>
    </xf>
    <xf numFmtId="1" fontId="2" fillId="0" borderId="11" xfId="0" applyNumberFormat="1" applyFont="1" applyBorder="1" applyAlignment="1">
      <alignment horizontal="right"/>
    </xf>
    <xf numFmtId="2" fontId="0" fillId="0" borderId="0" xfId="70" applyNumberFormat="1" applyFont="1">
      <alignment/>
      <protection/>
    </xf>
    <xf numFmtId="2" fontId="16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2" xfId="92" applyFont="1" applyBorder="1" applyAlignment="1">
      <alignment horizontal="center" vertical="top" wrapText="1"/>
      <protection/>
    </xf>
    <xf numFmtId="0" fontId="14" fillId="0" borderId="11" xfId="100" applyFont="1" applyBorder="1" applyAlignment="1">
      <alignment horizontal="center" vertical="top" wrapText="1"/>
      <protection/>
    </xf>
    <xf numFmtId="0" fontId="14" fillId="0" borderId="11" xfId="100" applyFont="1" applyBorder="1" applyAlignment="1">
      <alignment horizontal="center" vertical="center" wrapText="1"/>
      <protection/>
    </xf>
    <xf numFmtId="0" fontId="12" fillId="0" borderId="0" xfId="100" applyFont="1" applyAlignment="1">
      <alignment horizontal="left"/>
      <protection/>
    </xf>
    <xf numFmtId="0" fontId="34" fillId="0" borderId="11" xfId="0" applyFont="1" applyBorder="1" applyAlignment="1">
      <alignment horizontal="center" vertical="top" wrapText="1"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32" fillId="0" borderId="0" xfId="0" applyFont="1" applyBorder="1" applyAlignment="1">
      <alignment vertical="top"/>
    </xf>
    <xf numFmtId="0" fontId="124" fillId="0" borderId="11" xfId="0" applyFont="1" applyBorder="1" applyAlignment="1">
      <alignment horizontal="center"/>
    </xf>
    <xf numFmtId="0" fontId="133" fillId="0" borderId="11" xfId="0" applyFont="1" applyBorder="1" applyAlignment="1">
      <alignment horizontal="center" vertical="center" wrapText="1"/>
    </xf>
    <xf numFmtId="0" fontId="133" fillId="0" borderId="10" xfId="0" applyFont="1" applyBorder="1" applyAlignment="1">
      <alignment horizontal="center" vertical="center" wrapText="1"/>
    </xf>
    <xf numFmtId="0" fontId="124" fillId="0" borderId="10" xfId="0" applyFont="1" applyBorder="1" applyAlignment="1">
      <alignment horizontal="center"/>
    </xf>
    <xf numFmtId="0" fontId="134" fillId="0" borderId="10" xfId="0" applyFont="1" applyBorder="1" applyAlignment="1">
      <alignment vertical="center" wrapText="1"/>
    </xf>
    <xf numFmtId="0" fontId="134" fillId="0" borderId="11" xfId="0" applyFont="1" applyBorder="1" applyAlignment="1">
      <alignment vertical="center" wrapText="1"/>
    </xf>
    <xf numFmtId="0" fontId="2" fillId="0" borderId="0" xfId="79" applyFont="1">
      <alignment/>
      <protection/>
    </xf>
    <xf numFmtId="0" fontId="2" fillId="0" borderId="0" xfId="79" applyFont="1" applyAlignment="1">
      <alignment horizontal="center" vertical="top" wrapText="1"/>
      <protection/>
    </xf>
    <xf numFmtId="0" fontId="2" fillId="0" borderId="0" xfId="79" applyFont="1" applyAlignment="1">
      <alignment horizontal="center"/>
      <protection/>
    </xf>
    <xf numFmtId="0" fontId="38" fillId="0" borderId="0" xfId="0" applyFont="1" applyAlignment="1">
      <alignment/>
    </xf>
    <xf numFmtId="0" fontId="6" fillId="0" borderId="0" xfId="79" applyFont="1">
      <alignment/>
      <protection/>
    </xf>
    <xf numFmtId="0" fontId="2" fillId="0" borderId="0" xfId="79" applyFont="1" applyBorder="1">
      <alignment/>
      <protection/>
    </xf>
    <xf numFmtId="0" fontId="2" fillId="0" borderId="0" xfId="79" applyFont="1" applyBorder="1" applyAlignment="1">
      <alignment horizontal="left" vertical="center"/>
      <protection/>
    </xf>
    <xf numFmtId="0" fontId="2" fillId="0" borderId="0" xfId="79" applyFont="1" applyAlignment="1">
      <alignment horizontal="left" vertical="center"/>
      <protection/>
    </xf>
    <xf numFmtId="0" fontId="2" fillId="0" borderId="11" xfId="79" applyFont="1" applyBorder="1">
      <alignment/>
      <protection/>
    </xf>
    <xf numFmtId="0" fontId="0" fillId="0" borderId="0" xfId="79" applyFont="1">
      <alignment/>
      <protection/>
    </xf>
    <xf numFmtId="0" fontId="2" fillId="0" borderId="0" xfId="79" applyFont="1" applyAlignment="1">
      <alignment vertical="top" wrapText="1"/>
      <protection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right"/>
    </xf>
    <xf numFmtId="0" fontId="33" fillId="33" borderId="0" xfId="0" applyFont="1" applyFill="1" applyAlignment="1">
      <alignment/>
    </xf>
    <xf numFmtId="0" fontId="35" fillId="0" borderId="0" xfId="0" applyFont="1" applyBorder="1" applyAlignment="1">
      <alignment/>
    </xf>
    <xf numFmtId="0" fontId="122" fillId="33" borderId="11" xfId="0" applyFont="1" applyFill="1" applyBorder="1" applyAlignment="1">
      <alignment horizontal="center" vertical="top" wrapText="1"/>
    </xf>
    <xf numFmtId="0" fontId="34" fillId="33" borderId="11" xfId="0" applyFont="1" applyFill="1" applyBorder="1" applyAlignment="1">
      <alignment horizontal="center" vertical="top" wrapText="1"/>
    </xf>
    <xf numFmtId="0" fontId="2" fillId="0" borderId="0" xfId="79" applyFont="1" applyAlignment="1">
      <alignment/>
      <protection/>
    </xf>
    <xf numFmtId="0" fontId="135" fillId="0" borderId="11" xfId="0" applyFont="1" applyBorder="1" applyAlignment="1">
      <alignment vertical="top" wrapText="1"/>
    </xf>
    <xf numFmtId="0" fontId="135" fillId="0" borderId="11" xfId="0" applyFont="1" applyBorder="1" applyAlignment="1">
      <alignment horizontal="center" vertical="top" wrapText="1"/>
    </xf>
    <xf numFmtId="0" fontId="135" fillId="0" borderId="12" xfId="0" applyFont="1" applyBorder="1" applyAlignment="1">
      <alignment horizontal="center" vertical="top" wrapText="1"/>
    </xf>
    <xf numFmtId="0" fontId="0" fillId="0" borderId="11" xfId="92" applyFont="1" applyBorder="1" applyAlignment="1">
      <alignment vertical="center" wrapText="1"/>
      <protection/>
    </xf>
    <xf numFmtId="0" fontId="0" fillId="0" borderId="11" xfId="92" applyFont="1" applyBorder="1" applyAlignment="1">
      <alignment vertical="center"/>
      <protection/>
    </xf>
    <xf numFmtId="0" fontId="12" fillId="0" borderId="11" xfId="100" applyFont="1" applyBorder="1" applyAlignment="1">
      <alignment horizontal="left" vertical="center" wrapText="1"/>
      <protection/>
    </xf>
    <xf numFmtId="2" fontId="12" fillId="0" borderId="11" xfId="100" applyNumberFormat="1" applyFont="1" applyBorder="1" applyAlignment="1">
      <alignment horizontal="right" vertical="center" wrapText="1"/>
      <protection/>
    </xf>
    <xf numFmtId="14" fontId="12" fillId="0" borderId="11" xfId="100" applyNumberFormat="1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right" vertical="center"/>
    </xf>
    <xf numFmtId="0" fontId="12" fillId="0" borderId="11" xfId="92" applyFont="1" applyBorder="1" applyAlignment="1">
      <alignment horizontal="right" vertical="center"/>
      <protection/>
    </xf>
    <xf numFmtId="0" fontId="136" fillId="0" borderId="23" xfId="0" applyFont="1" applyBorder="1" applyAlignment="1">
      <alignment horizontal="right" vertical="center" wrapText="1" readingOrder="1"/>
    </xf>
    <xf numFmtId="0" fontId="12" fillId="0" borderId="11" xfId="92" applyFont="1" applyBorder="1" applyAlignment="1">
      <alignment horizontal="right" vertical="center" wrapText="1"/>
      <protection/>
    </xf>
    <xf numFmtId="0" fontId="136" fillId="0" borderId="24" xfId="0" applyFont="1" applyBorder="1" applyAlignment="1">
      <alignment horizontal="right" vertical="center" wrapText="1" readingOrder="1"/>
    </xf>
    <xf numFmtId="0" fontId="12" fillId="0" borderId="11" xfId="0" applyFont="1" applyBorder="1" applyAlignment="1">
      <alignment vertical="center"/>
    </xf>
    <xf numFmtId="0" fontId="46" fillId="0" borderId="11" xfId="0" applyFont="1" applyBorder="1" applyAlignment="1" quotePrefix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46" fillId="0" borderId="11" xfId="0" applyFont="1" applyBorder="1" applyAlignment="1" quotePrefix="1">
      <alignment horizontal="right" vertical="center" wrapText="1"/>
    </xf>
    <xf numFmtId="0" fontId="14" fillId="0" borderId="11" xfId="92" applyFont="1" applyBorder="1" applyAlignment="1">
      <alignment vertical="center"/>
      <protection/>
    </xf>
    <xf numFmtId="0" fontId="14" fillId="0" borderId="11" xfId="92" applyFont="1" applyBorder="1" applyAlignment="1">
      <alignment horizontal="center" vertical="center"/>
      <protection/>
    </xf>
    <xf numFmtId="2" fontId="46" fillId="0" borderId="11" xfId="0" applyNumberFormat="1" applyFont="1" applyBorder="1" applyAlignment="1" quotePrefix="1">
      <alignment horizontal="right" vertical="center" wrapText="1"/>
    </xf>
    <xf numFmtId="2" fontId="14" fillId="0" borderId="11" xfId="92" applyNumberFormat="1" applyFont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2" fillId="0" borderId="17" xfId="0" applyFont="1" applyBorder="1" applyAlignment="1">
      <alignment vertical="top" wrapText="1"/>
    </xf>
    <xf numFmtId="0" fontId="0" fillId="0" borderId="15" xfId="0" applyFont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0" fontId="35" fillId="0" borderId="10" xfId="0" applyFont="1" applyBorder="1" applyAlignment="1" quotePrefix="1">
      <alignment horizontal="center" vertical="top" wrapText="1"/>
    </xf>
    <xf numFmtId="0" fontId="0" fillId="0" borderId="0" xfId="72">
      <alignment/>
      <protection/>
    </xf>
    <xf numFmtId="0" fontId="125" fillId="0" borderId="0" xfId="72" applyFont="1" applyAlignment="1">
      <alignment horizontal="center"/>
      <protection/>
    </xf>
    <xf numFmtId="0" fontId="33" fillId="0" borderId="0" xfId="72" applyFont="1">
      <alignment/>
      <protection/>
    </xf>
    <xf numFmtId="0" fontId="33" fillId="33" borderId="0" xfId="72" applyFont="1" applyFill="1">
      <alignment/>
      <protection/>
    </xf>
    <xf numFmtId="0" fontId="31" fillId="33" borderId="0" xfId="72" applyFont="1" applyFill="1" applyAlignment="1">
      <alignment horizontal="center"/>
      <protection/>
    </xf>
    <xf numFmtId="0" fontId="34" fillId="0" borderId="0" xfId="72" applyFont="1" applyBorder="1" applyAlignment="1">
      <alignment/>
      <protection/>
    </xf>
    <xf numFmtId="0" fontId="2" fillId="0" borderId="11" xfId="72" applyFont="1" applyBorder="1" applyAlignment="1">
      <alignment horizontal="center" vertical="top" wrapText="1"/>
      <protection/>
    </xf>
    <xf numFmtId="0" fontId="2" fillId="0" borderId="11" xfId="72" applyFont="1" applyBorder="1" applyAlignment="1">
      <alignment horizontal="center" vertical="top"/>
      <protection/>
    </xf>
    <xf numFmtId="0" fontId="34" fillId="0" borderId="11" xfId="72" applyFont="1" applyBorder="1" applyAlignment="1">
      <alignment horizontal="center" vertical="top" wrapText="1"/>
      <protection/>
    </xf>
    <xf numFmtId="0" fontId="2" fillId="0" borderId="11" xfId="72" applyFont="1" applyFill="1" applyBorder="1" applyAlignment="1">
      <alignment horizontal="center" vertical="top" wrapText="1"/>
      <protection/>
    </xf>
    <xf numFmtId="0" fontId="35" fillId="0" borderId="11" xfId="72" applyFont="1" applyBorder="1" applyAlignment="1" quotePrefix="1">
      <alignment horizontal="center" vertical="top" wrapText="1"/>
      <protection/>
    </xf>
    <xf numFmtId="0" fontId="35" fillId="33" borderId="11" xfId="72" applyFont="1" applyFill="1" applyBorder="1" applyAlignment="1" quotePrefix="1">
      <alignment horizontal="center" vertical="top" wrapText="1"/>
      <protection/>
    </xf>
    <xf numFmtId="0" fontId="0" fillId="0" borderId="11" xfId="72" applyBorder="1">
      <alignment/>
      <protection/>
    </xf>
    <xf numFmtId="0" fontId="0" fillId="0" borderId="0" xfId="72" applyFont="1">
      <alignment/>
      <protection/>
    </xf>
    <xf numFmtId="0" fontId="2" fillId="0" borderId="11" xfId="72" applyFont="1" applyBorder="1">
      <alignment/>
      <protection/>
    </xf>
    <xf numFmtId="0" fontId="0" fillId="33" borderId="0" xfId="72" applyFill="1">
      <alignment/>
      <protection/>
    </xf>
    <xf numFmtId="0" fontId="0" fillId="34" borderId="0" xfId="72" applyFill="1">
      <alignment/>
      <protection/>
    </xf>
    <xf numFmtId="0" fontId="11" fillId="0" borderId="0" xfId="92" applyFont="1">
      <alignment/>
      <protection/>
    </xf>
    <xf numFmtId="0" fontId="11" fillId="0" borderId="0" xfId="72" applyFont="1">
      <alignment/>
      <protection/>
    </xf>
    <xf numFmtId="0" fontId="6" fillId="0" borderId="0" xfId="72" applyFont="1" applyBorder="1" applyAlignment="1">
      <alignment horizontal="center" vertical="center" wrapText="1"/>
      <protection/>
    </xf>
    <xf numFmtId="0" fontId="47" fillId="0" borderId="0" xfId="72" applyFont="1" applyBorder="1" applyAlignment="1">
      <alignment/>
      <protection/>
    </xf>
    <xf numFmtId="0" fontId="6" fillId="0" borderId="0" xfId="72" applyFont="1">
      <alignment/>
      <protection/>
    </xf>
    <xf numFmtId="0" fontId="6" fillId="0" borderId="0" xfId="72" applyFont="1" applyAlignment="1">
      <alignment vertical="center"/>
      <protection/>
    </xf>
    <xf numFmtId="0" fontId="11" fillId="0" borderId="0" xfId="72" applyFont="1" applyAlignment="1">
      <alignment vertical="center"/>
      <protection/>
    </xf>
    <xf numFmtId="0" fontId="6" fillId="0" borderId="11" xfId="92" applyFont="1" applyBorder="1" applyAlignment="1">
      <alignment horizontal="center"/>
      <protection/>
    </xf>
    <xf numFmtId="0" fontId="11" fillId="0" borderId="0" xfId="92" applyFont="1" applyFill="1" applyBorder="1" applyAlignment="1">
      <alignment horizontal="left"/>
      <protection/>
    </xf>
    <xf numFmtId="0" fontId="6" fillId="0" borderId="0" xfId="72" applyFont="1" applyAlignment="1">
      <alignment/>
      <protection/>
    </xf>
    <xf numFmtId="0" fontId="33" fillId="0" borderId="11" xfId="72" applyFont="1" applyBorder="1" applyAlignment="1" quotePrefix="1">
      <alignment horizontal="center" vertical="top" wrapText="1"/>
      <protection/>
    </xf>
    <xf numFmtId="0" fontId="0" fillId="0" borderId="11" xfId="72" applyFont="1" applyBorder="1" applyAlignment="1">
      <alignment horizontal="center"/>
      <protection/>
    </xf>
    <xf numFmtId="0" fontId="2" fillId="0" borderId="0" xfId="80" applyFont="1">
      <alignment/>
      <protection/>
    </xf>
    <xf numFmtId="0" fontId="2" fillId="0" borderId="0" xfId="80" applyFont="1" applyAlignment="1">
      <alignment horizontal="center" vertical="top" wrapText="1"/>
      <protection/>
    </xf>
    <xf numFmtId="0" fontId="2" fillId="0" borderId="0" xfId="80" applyFont="1" applyAlignment="1">
      <alignment horizontal="center"/>
      <protection/>
    </xf>
    <xf numFmtId="0" fontId="122" fillId="0" borderId="11" xfId="108" applyFont="1" applyBorder="1" applyAlignment="1">
      <alignment horizontal="center"/>
      <protection/>
    </xf>
    <xf numFmtId="0" fontId="19" fillId="0" borderId="0" xfId="70" applyFont="1" applyBorder="1">
      <alignment/>
      <protection/>
    </xf>
    <xf numFmtId="2" fontId="19" fillId="0" borderId="0" xfId="70" applyNumberFormat="1" applyFont="1" applyBorder="1">
      <alignment/>
      <protection/>
    </xf>
    <xf numFmtId="0" fontId="48" fillId="0" borderId="0" xfId="70" applyFont="1" applyAlignment="1">
      <alignment vertical="center"/>
      <protection/>
    </xf>
    <xf numFmtId="0" fontId="11" fillId="33" borderId="0" xfId="0" applyFont="1" applyFill="1" applyBorder="1" applyAlignment="1">
      <alignment vertical="center"/>
    </xf>
    <xf numFmtId="0" fontId="20" fillId="0" borderId="0" xfId="70" applyFont="1" applyBorder="1" applyAlignment="1">
      <alignment vertical="center"/>
      <protection/>
    </xf>
    <xf numFmtId="1" fontId="2" fillId="0" borderId="11" xfId="0" applyNumberFormat="1" applyFont="1" applyBorder="1" applyAlignment="1">
      <alignment horizontal="right" vertical="top" wrapText="1"/>
    </xf>
    <xf numFmtId="1" fontId="2" fillId="0" borderId="11" xfId="0" applyNumberFormat="1" applyFont="1" applyBorder="1" applyAlignment="1">
      <alignment/>
    </xf>
    <xf numFmtId="0" fontId="137" fillId="0" borderId="11" xfId="0" applyFont="1" applyFill="1" applyBorder="1" applyAlignment="1">
      <alignment wrapText="1"/>
    </xf>
    <xf numFmtId="0" fontId="12" fillId="0" borderId="11" xfId="94" applyFont="1" applyBorder="1" applyAlignment="1">
      <alignment horizontal="right" vertical="center"/>
      <protection/>
    </xf>
    <xf numFmtId="2" fontId="12" fillId="0" borderId="11" xfId="0" applyNumberFormat="1" applyFont="1" applyBorder="1" applyAlignment="1">
      <alignment horizontal="right" vertical="center" wrapText="1"/>
    </xf>
    <xf numFmtId="2" fontId="12" fillId="0" borderId="11" xfId="94" applyNumberFormat="1" applyFont="1" applyBorder="1" applyAlignment="1">
      <alignment horizontal="right" vertical="center"/>
      <protection/>
    </xf>
    <xf numFmtId="2" fontId="12" fillId="0" borderId="11" xfId="0" applyNumberFormat="1" applyFont="1" applyBorder="1" applyAlignment="1">
      <alignment vertical="center"/>
    </xf>
    <xf numFmtId="2" fontId="12" fillId="0" borderId="11" xfId="0" applyNumberFormat="1" applyFont="1" applyBorder="1" applyAlignment="1">
      <alignment vertical="center" wrapText="1"/>
    </xf>
    <xf numFmtId="2" fontId="12" fillId="0" borderId="11" xfId="94" applyNumberFormat="1" applyFont="1" applyBorder="1" applyAlignment="1">
      <alignment vertical="center"/>
      <protection/>
    </xf>
    <xf numFmtId="2" fontId="12" fillId="0" borderId="11" xfId="0" applyNumberFormat="1" applyFont="1" applyBorder="1" applyAlignment="1">
      <alignment/>
    </xf>
    <xf numFmtId="0" fontId="106" fillId="0" borderId="11" xfId="72" applyFont="1" applyBorder="1" applyAlignment="1">
      <alignment horizontal="right" vertical="center"/>
      <protection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 vertical="center" wrapText="1"/>
    </xf>
    <xf numFmtId="2" fontId="12" fillId="0" borderId="1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right"/>
    </xf>
    <xf numFmtId="1" fontId="2" fillId="0" borderId="11" xfId="0" applyNumberFormat="1" applyFont="1" applyBorder="1" applyAlignment="1">
      <alignment vertical="center"/>
    </xf>
    <xf numFmtId="0" fontId="12" fillId="0" borderId="11" xfId="100" applyFont="1" applyBorder="1">
      <alignment/>
      <protection/>
    </xf>
    <xf numFmtId="0" fontId="49" fillId="0" borderId="25" xfId="52" applyFont="1" applyBorder="1" applyAlignment="1" applyProtection="1">
      <alignment wrapText="1"/>
      <protection/>
    </xf>
    <xf numFmtId="0" fontId="2" fillId="0" borderId="10" xfId="0" applyFont="1" applyBorder="1" applyAlignment="1">
      <alignment horizontal="center"/>
    </xf>
    <xf numFmtId="0" fontId="106" fillId="0" borderId="12" xfId="101" applyBorder="1" applyAlignment="1">
      <alignment horizontal="center"/>
      <protection/>
    </xf>
    <xf numFmtId="0" fontId="2" fillId="0" borderId="21" xfId="0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vertical="center" wrapText="1"/>
    </xf>
    <xf numFmtId="1" fontId="0" fillId="0" borderId="11" xfId="0" applyNumberFormat="1" applyFont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9" xfId="0" applyFont="1" applyBorder="1" applyAlignment="1">
      <alignment/>
    </xf>
    <xf numFmtId="2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14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vertical="center"/>
    </xf>
    <xf numFmtId="2" fontId="106" fillId="0" borderId="11" xfId="72" applyNumberFormat="1" applyFont="1" applyBorder="1" applyAlignment="1">
      <alignment vertical="center"/>
      <protection/>
    </xf>
    <xf numFmtId="0" fontId="106" fillId="0" borderId="11" xfId="72" applyFont="1" applyBorder="1" applyAlignment="1">
      <alignment horizontal="right" vertical="center"/>
      <protection/>
    </xf>
    <xf numFmtId="0" fontId="12" fillId="0" borderId="0" xfId="0" applyFont="1" applyAlignment="1">
      <alignment vertical="center"/>
    </xf>
    <xf numFmtId="2" fontId="50" fillId="0" borderId="11" xfId="0" applyNumberFormat="1" applyFont="1" applyBorder="1" applyAlignment="1">
      <alignment horizontal="right" vertical="center" wrapText="1"/>
    </xf>
    <xf numFmtId="2" fontId="138" fillId="0" borderId="11" xfId="72" applyNumberFormat="1" applyFont="1" applyBorder="1" applyAlignment="1">
      <alignment vertical="center"/>
      <protection/>
    </xf>
    <xf numFmtId="2" fontId="126" fillId="0" borderId="0" xfId="0" applyNumberFormat="1" applyFont="1" applyAlignment="1">
      <alignment/>
    </xf>
    <xf numFmtId="0" fontId="139" fillId="0" borderId="0" xfId="0" applyFont="1" applyAlignment="1">
      <alignment/>
    </xf>
    <xf numFmtId="0" fontId="106" fillId="0" borderId="11" xfId="102" applyBorder="1" applyAlignment="1">
      <alignment horizontal="right"/>
      <protection/>
    </xf>
    <xf numFmtId="0" fontId="106" fillId="0" borderId="11" xfId="58" applyBorder="1" applyAlignment="1">
      <alignment horizontal="right"/>
      <protection/>
    </xf>
    <xf numFmtId="0" fontId="106" fillId="33" borderId="11" xfId="102" applyFill="1" applyBorder="1" applyAlignment="1">
      <alignment horizontal="right"/>
      <protection/>
    </xf>
    <xf numFmtId="0" fontId="0" fillId="0" borderId="11" xfId="72" applyFont="1" applyBorder="1" applyAlignment="1">
      <alignment horizontal="right" vertical="center"/>
      <protection/>
    </xf>
    <xf numFmtId="0" fontId="71" fillId="33" borderId="11" xfId="72" applyFont="1" applyFill="1" applyBorder="1" applyAlignment="1">
      <alignment horizontal="right" vertical="center"/>
      <protection/>
    </xf>
    <xf numFmtId="2" fontId="35" fillId="0" borderId="11" xfId="0" applyNumberFormat="1" applyFont="1" applyBorder="1" applyAlignment="1" quotePrefix="1">
      <alignment vertical="center" wrapText="1"/>
    </xf>
    <xf numFmtId="2" fontId="0" fillId="0" borderId="11" xfId="0" applyNumberFormat="1" applyBorder="1" applyAlignment="1">
      <alignment vertical="center"/>
    </xf>
    <xf numFmtId="0" fontId="0" fillId="0" borderId="11" xfId="72" applyBorder="1" applyAlignment="1">
      <alignment vertical="center"/>
      <protection/>
    </xf>
    <xf numFmtId="0" fontId="0" fillId="0" borderId="11" xfId="72" applyBorder="1" applyAlignment="1">
      <alignment horizontal="center" vertical="center"/>
      <protection/>
    </xf>
    <xf numFmtId="0" fontId="0" fillId="0" borderId="14" xfId="72" applyBorder="1" applyAlignment="1">
      <alignment vertical="center" wrapText="1"/>
      <protection/>
    </xf>
    <xf numFmtId="0" fontId="0" fillId="0" borderId="14" xfId="72" applyBorder="1" applyAlignment="1">
      <alignment vertical="center"/>
      <protection/>
    </xf>
    <xf numFmtId="0" fontId="0" fillId="0" borderId="15" xfId="72" applyBorder="1" applyAlignment="1">
      <alignment vertical="center"/>
      <protection/>
    </xf>
    <xf numFmtId="2" fontId="0" fillId="0" borderId="11" xfId="72" applyNumberFormat="1" applyBorder="1" applyAlignment="1">
      <alignment vertical="center"/>
      <protection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/>
    </xf>
    <xf numFmtId="0" fontId="140" fillId="36" borderId="11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 horizontal="right" vertical="top" wrapText="1"/>
    </xf>
    <xf numFmtId="0" fontId="141" fillId="36" borderId="11" xfId="0" applyFont="1" applyFill="1" applyBorder="1" applyAlignment="1">
      <alignment horizontal="right" wrapText="1"/>
    </xf>
    <xf numFmtId="0" fontId="13" fillId="0" borderId="0" xfId="92" applyFont="1" applyAlignment="1">
      <alignment horizontal="left"/>
      <protection/>
    </xf>
    <xf numFmtId="0" fontId="2" fillId="0" borderId="0" xfId="92" applyFont="1" applyAlignment="1">
      <alignment horizontal="center"/>
      <protection/>
    </xf>
    <xf numFmtId="0" fontId="2" fillId="0" borderId="0" xfId="92" applyFont="1" applyAlignment="1">
      <alignment horizontal="left"/>
      <protection/>
    </xf>
    <xf numFmtId="0" fontId="0" fillId="0" borderId="0" xfId="92" applyFont="1" applyBorder="1">
      <alignment/>
      <protection/>
    </xf>
    <xf numFmtId="0" fontId="2" fillId="0" borderId="0" xfId="92" applyFont="1" applyBorder="1">
      <alignment/>
      <protection/>
    </xf>
    <xf numFmtId="0" fontId="2" fillId="0" borderId="0" xfId="92" applyFont="1" applyAlignment="1">
      <alignment horizontal="right" vertical="top" wrapText="1"/>
      <protection/>
    </xf>
    <xf numFmtId="0" fontId="2" fillId="0" borderId="0" xfId="74" applyFont="1">
      <alignment/>
      <protection/>
    </xf>
    <xf numFmtId="0" fontId="2" fillId="0" borderId="0" xfId="74" applyFont="1" applyAlignment="1">
      <alignment horizontal="center" vertical="top" wrapText="1"/>
      <protection/>
    </xf>
    <xf numFmtId="0" fontId="142" fillId="0" borderId="0" xfId="72" applyFont="1">
      <alignment/>
      <protection/>
    </xf>
    <xf numFmtId="0" fontId="124" fillId="0" borderId="0" xfId="72" applyFont="1" applyAlignment="1">
      <alignment horizontal="center"/>
      <protection/>
    </xf>
    <xf numFmtId="0" fontId="34" fillId="33" borderId="10" xfId="72" applyFont="1" applyFill="1" applyBorder="1" applyAlignment="1">
      <alignment horizontal="center" vertical="top" wrapText="1"/>
      <protection/>
    </xf>
    <xf numFmtId="0" fontId="34" fillId="0" borderId="10" xfId="72" applyFont="1" applyBorder="1" applyAlignment="1">
      <alignment vertical="top" wrapText="1"/>
      <protection/>
    </xf>
    <xf numFmtId="2" fontId="0" fillId="0" borderId="11" xfId="93" applyNumberFormat="1" applyBorder="1">
      <alignment/>
      <protection/>
    </xf>
    <xf numFmtId="2" fontId="2" fillId="0" borderId="11" xfId="92" applyNumberFormat="1" applyFont="1" applyBorder="1">
      <alignment/>
      <protection/>
    </xf>
    <xf numFmtId="0" fontId="2" fillId="0" borderId="11" xfId="92" applyFont="1" applyBorder="1" applyAlignment="1">
      <alignment horizontal="right" vertical="top" wrapText="1"/>
      <protection/>
    </xf>
    <xf numFmtId="2" fontId="2" fillId="0" borderId="11" xfId="92" applyNumberFormat="1" applyFont="1" applyBorder="1" applyAlignment="1">
      <alignment horizontal="right" vertical="top" wrapText="1"/>
      <protection/>
    </xf>
    <xf numFmtId="2" fontId="0" fillId="0" borderId="11" xfId="92" applyNumberFormat="1" applyFont="1" applyBorder="1" applyAlignment="1">
      <alignment horizontal="right"/>
      <protection/>
    </xf>
    <xf numFmtId="2" fontId="2" fillId="0" borderId="11" xfId="92" applyNumberFormat="1" applyFont="1" applyBorder="1" applyAlignment="1">
      <alignment horizontal="right"/>
      <protection/>
    </xf>
    <xf numFmtId="2" fontId="0" fillId="0" borderId="11" xfId="92" applyNumberFormat="1" applyFont="1" applyBorder="1">
      <alignment/>
      <protection/>
    </xf>
    <xf numFmtId="0" fontId="63" fillId="0" borderId="11" xfId="0" applyFont="1" applyBorder="1" applyAlignment="1">
      <alignment/>
    </xf>
    <xf numFmtId="0" fontId="63" fillId="0" borderId="11" xfId="0" applyFont="1" applyFill="1" applyBorder="1" applyAlignment="1">
      <alignment/>
    </xf>
    <xf numFmtId="0" fontId="34" fillId="33" borderId="10" xfId="0" applyFont="1" applyFill="1" applyBorder="1" applyAlignment="1">
      <alignment horizontal="center" vertical="top" wrapText="1"/>
    </xf>
    <xf numFmtId="0" fontId="2" fillId="0" borderId="0" xfId="75" applyFont="1">
      <alignment/>
      <protection/>
    </xf>
    <xf numFmtId="0" fontId="2" fillId="0" borderId="0" xfId="75" applyFont="1" applyAlignment="1">
      <alignment horizontal="center" vertical="top" wrapText="1"/>
      <protection/>
    </xf>
    <xf numFmtId="0" fontId="2" fillId="0" borderId="0" xfId="75" applyFont="1" applyAlignment="1">
      <alignment/>
      <protection/>
    </xf>
    <xf numFmtId="0" fontId="2" fillId="0" borderId="0" xfId="75" applyFont="1" applyAlignment="1">
      <alignment horizontal="center"/>
      <protection/>
    </xf>
    <xf numFmtId="0" fontId="35" fillId="0" borderId="11" xfId="72" applyNumberFormat="1" applyFont="1" applyBorder="1" applyAlignment="1" quotePrefix="1">
      <alignment horizontal="center" vertical="top" wrapText="1"/>
      <protection/>
    </xf>
    <xf numFmtId="0" fontId="71" fillId="33" borderId="11" xfId="72" applyFont="1" applyFill="1" applyBorder="1" applyAlignment="1" quotePrefix="1">
      <alignment horizontal="right" vertical="center" wrapText="1"/>
      <protection/>
    </xf>
    <xf numFmtId="0" fontId="71" fillId="0" borderId="11" xfId="72" applyFont="1" applyBorder="1" applyAlignment="1" quotePrefix="1">
      <alignment horizontal="right" vertical="center" wrapText="1"/>
      <protection/>
    </xf>
    <xf numFmtId="0" fontId="71" fillId="33" borderId="11" xfId="72" applyFont="1" applyFill="1" applyBorder="1" applyAlignment="1">
      <alignment horizontal="right"/>
      <protection/>
    </xf>
    <xf numFmtId="0" fontId="71" fillId="0" borderId="11" xfId="72" applyFont="1" applyBorder="1" applyAlignment="1">
      <alignment horizontal="right" vertical="center"/>
      <protection/>
    </xf>
    <xf numFmtId="0" fontId="6" fillId="0" borderId="10" xfId="92" applyFont="1" applyBorder="1" applyAlignment="1">
      <alignment horizontal="center" vertical="top" wrapText="1"/>
      <protection/>
    </xf>
    <xf numFmtId="0" fontId="33" fillId="0" borderId="11" xfId="0" applyFont="1" applyBorder="1" applyAlignment="1" quotePrefix="1">
      <alignment horizontal="center" vertical="top" wrapText="1"/>
    </xf>
    <xf numFmtId="0" fontId="0" fillId="33" borderId="11" xfId="0" applyFont="1" applyFill="1" applyBorder="1" applyAlignment="1">
      <alignment horizontal="center"/>
    </xf>
    <xf numFmtId="1" fontId="33" fillId="0" borderId="11" xfId="0" applyNumberFormat="1" applyFont="1" applyBorder="1" applyAlignment="1" quotePrefix="1">
      <alignment horizontal="center" vertical="top" wrapText="1"/>
    </xf>
    <xf numFmtId="1" fontId="0" fillId="33" borderId="11" xfId="0" applyNumberFormat="1" applyFont="1" applyFill="1" applyBorder="1" applyAlignment="1">
      <alignment horizontal="center"/>
    </xf>
    <xf numFmtId="0" fontId="33" fillId="0" borderId="11" xfId="0" applyFont="1" applyBorder="1" applyAlignment="1" quotePrefix="1">
      <alignment horizontal="right" vertical="top" wrapText="1"/>
    </xf>
    <xf numFmtId="1" fontId="33" fillId="0" borderId="11" xfId="0" applyNumberFormat="1" applyFont="1" applyBorder="1" applyAlignment="1" quotePrefix="1">
      <alignment horizontal="right" vertical="top" wrapText="1"/>
    </xf>
    <xf numFmtId="1" fontId="0" fillId="33" borderId="11" xfId="0" applyNumberFormat="1" applyFont="1" applyFill="1" applyBorder="1" applyAlignment="1">
      <alignment horizontal="right"/>
    </xf>
    <xf numFmtId="0" fontId="143" fillId="0" borderId="11" xfId="0" applyFont="1" applyBorder="1" applyAlignment="1" quotePrefix="1">
      <alignment horizontal="right" vertical="top" wrapText="1"/>
    </xf>
    <xf numFmtId="0" fontId="143" fillId="0" borderId="11" xfId="0" applyFont="1" applyBorder="1" applyAlignment="1" quotePrefix="1">
      <alignment horizontal="center" vertical="top" wrapText="1"/>
    </xf>
    <xf numFmtId="2" fontId="12" fillId="0" borderId="11" xfId="100" applyNumberFormat="1" applyFont="1" applyBorder="1" applyAlignment="1">
      <alignment horizontal="right" vertical="top" wrapText="1"/>
      <protection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5" fillId="0" borderId="11" xfId="0" applyFont="1" applyBorder="1" applyAlignment="1" quotePrefix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70" applyFont="1" applyAlignment="1">
      <alignment horizontal="center" vertical="center"/>
      <protection/>
    </xf>
    <xf numFmtId="0" fontId="34" fillId="33" borderId="10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129" fillId="0" borderId="14" xfId="72" applyFont="1" applyFill="1" applyBorder="1" applyAlignment="1">
      <alignment horizontal="left" vertical="center"/>
      <protection/>
    </xf>
    <xf numFmtId="0" fontId="144" fillId="37" borderId="11" xfId="0" applyFont="1" applyFill="1" applyBorder="1" applyAlignment="1">
      <alignment horizontal="center" vertical="center" wrapText="1"/>
    </xf>
    <xf numFmtId="0" fontId="106" fillId="0" borderId="11" xfId="101" applyBorder="1" applyAlignment="1">
      <alignment horizontal="right"/>
      <protection/>
    </xf>
    <xf numFmtId="0" fontId="106" fillId="0" borderId="15" xfId="105" applyFont="1" applyBorder="1" applyAlignment="1">
      <alignment horizontal="right"/>
      <protection/>
    </xf>
    <xf numFmtId="0" fontId="106" fillId="0" borderId="27" xfId="101" applyBorder="1">
      <alignment/>
      <protection/>
    </xf>
    <xf numFmtId="0" fontId="130" fillId="0" borderId="15" xfId="107" applyFont="1" applyBorder="1">
      <alignment/>
      <protection/>
    </xf>
    <xf numFmtId="0" fontId="9" fillId="0" borderId="10" xfId="0" applyFont="1" applyBorder="1" applyAlignment="1">
      <alignment horizontal="center" vertical="top" wrapText="1"/>
    </xf>
    <xf numFmtId="0" fontId="130" fillId="0" borderId="12" xfId="107" applyFont="1" applyBorder="1">
      <alignment/>
      <protection/>
    </xf>
    <xf numFmtId="0" fontId="2" fillId="0" borderId="14" xfId="0" applyFont="1" applyBorder="1" applyAlignment="1">
      <alignment horizontal="center"/>
    </xf>
    <xf numFmtId="0" fontId="14" fillId="0" borderId="16" xfId="100" applyFont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9" fillId="33" borderId="11" xfId="0" applyFont="1" applyFill="1" applyBorder="1" applyAlignment="1">
      <alignment horizontal="center" vertical="top" wrapText="1"/>
    </xf>
    <xf numFmtId="0" fontId="130" fillId="33" borderId="11" xfId="107" applyFont="1" applyFill="1" applyBorder="1">
      <alignment/>
      <protection/>
    </xf>
    <xf numFmtId="0" fontId="0" fillId="33" borderId="0" xfId="0" applyFill="1" applyBorder="1" applyAlignment="1">
      <alignment/>
    </xf>
    <xf numFmtId="0" fontId="9" fillId="0" borderId="11" xfId="0" applyFont="1" applyBorder="1" applyAlignment="1">
      <alignment/>
    </xf>
    <xf numFmtId="0" fontId="63" fillId="0" borderId="11" xfId="0" applyFont="1" applyBorder="1" applyAlignment="1">
      <alignment horizontal="left"/>
    </xf>
    <xf numFmtId="0" fontId="63" fillId="0" borderId="0" xfId="0" applyFont="1" applyBorder="1" applyAlignment="1">
      <alignment/>
    </xf>
    <xf numFmtId="0" fontId="63" fillId="0" borderId="0" xfId="92" applyFont="1" applyBorder="1">
      <alignment/>
      <protection/>
    </xf>
    <xf numFmtId="0" fontId="63" fillId="0" borderId="0" xfId="0" applyFont="1" applyBorder="1" applyAlignment="1">
      <alignment horizontal="left"/>
    </xf>
    <xf numFmtId="0" fontId="63" fillId="0" borderId="0" xfId="0" applyFont="1" applyFill="1" applyBorder="1" applyAlignment="1">
      <alignment/>
    </xf>
    <xf numFmtId="0" fontId="106" fillId="0" borderId="0" xfId="90">
      <alignment/>
      <protection/>
    </xf>
    <xf numFmtId="0" fontId="106" fillId="0" borderId="0" xfId="90" applyAlignment="1">
      <alignment horizontal="left"/>
      <protection/>
    </xf>
    <xf numFmtId="0" fontId="20" fillId="0" borderId="0" xfId="90" applyFont="1" applyAlignment="1">
      <alignment horizontal="left"/>
      <protection/>
    </xf>
    <xf numFmtId="0" fontId="17" fillId="0" borderId="0" xfId="90" applyFont="1" applyBorder="1" applyAlignment="1">
      <alignment horizontal="left"/>
      <protection/>
    </xf>
    <xf numFmtId="0" fontId="106" fillId="0" borderId="0" xfId="90" applyBorder="1" applyAlignment="1">
      <alignment horizontal="center"/>
      <protection/>
    </xf>
    <xf numFmtId="0" fontId="17" fillId="0" borderId="0" xfId="90" applyFont="1" applyAlignment="1">
      <alignment horizontal="center"/>
      <protection/>
    </xf>
    <xf numFmtId="0" fontId="20" fillId="0" borderId="11" xfId="90" applyFont="1" applyBorder="1" applyAlignment="1">
      <alignment horizontal="center" vertical="center" wrapText="1"/>
      <protection/>
    </xf>
    <xf numFmtId="0" fontId="26" fillId="0" borderId="11" xfId="90" applyFont="1" applyBorder="1" applyAlignment="1">
      <alignment horizontal="center" vertical="top" wrapText="1"/>
      <protection/>
    </xf>
    <xf numFmtId="0" fontId="26" fillId="0" borderId="11" xfId="90" applyFont="1" applyBorder="1" applyAlignment="1">
      <alignment horizontal="center"/>
      <protection/>
    </xf>
    <xf numFmtId="0" fontId="19" fillId="0" borderId="11" xfId="90" applyFont="1" applyBorder="1" applyAlignment="1">
      <alignment horizontal="center" vertical="top" wrapText="1"/>
      <protection/>
    </xf>
    <xf numFmtId="0" fontId="106" fillId="0" borderId="11" xfId="90" applyBorder="1">
      <alignment/>
      <protection/>
    </xf>
    <xf numFmtId="0" fontId="106" fillId="0" borderId="0" xfId="90" applyBorder="1">
      <alignment/>
      <protection/>
    </xf>
    <xf numFmtId="0" fontId="122" fillId="0" borderId="11" xfId="90" applyFont="1" applyBorder="1">
      <alignment/>
      <protection/>
    </xf>
    <xf numFmtId="0" fontId="122" fillId="0" borderId="0" xfId="90" applyFont="1" applyBorder="1">
      <alignment/>
      <protection/>
    </xf>
    <xf numFmtId="0" fontId="17" fillId="0" borderId="0" xfId="90" applyFont="1">
      <alignment/>
      <protection/>
    </xf>
    <xf numFmtId="0" fontId="16" fillId="0" borderId="12" xfId="0" applyFont="1" applyBorder="1" applyAlignment="1">
      <alignment horizontal="center" vertical="top" wrapText="1"/>
    </xf>
    <xf numFmtId="0" fontId="26" fillId="0" borderId="12" xfId="90" applyFont="1" applyBorder="1" applyAlignment="1">
      <alignment horizontal="center" vertical="top" wrapText="1"/>
      <protection/>
    </xf>
    <xf numFmtId="0" fontId="23" fillId="0" borderId="0" xfId="90" applyFont="1" applyAlignment="1">
      <alignment horizontal="center"/>
      <protection/>
    </xf>
    <xf numFmtId="0" fontId="122" fillId="0" borderId="11" xfId="90" applyFont="1" applyBorder="1" applyAlignment="1">
      <alignment horizontal="center"/>
      <protection/>
    </xf>
    <xf numFmtId="2" fontId="75" fillId="0" borderId="11" xfId="70" applyNumberFormat="1" applyFont="1" applyBorder="1" applyAlignment="1">
      <alignment horizontal="right" vertical="center"/>
      <protection/>
    </xf>
    <xf numFmtId="1" fontId="50" fillId="0" borderId="11" xfId="0" applyNumberFormat="1" applyFont="1" applyBorder="1" applyAlignment="1">
      <alignment horizontal="right" vertical="center"/>
    </xf>
    <xf numFmtId="0" fontId="50" fillId="0" borderId="11" xfId="0" applyFont="1" applyBorder="1" applyAlignment="1">
      <alignment/>
    </xf>
    <xf numFmtId="2" fontId="50" fillId="0" borderId="11" xfId="0" applyNumberFormat="1" applyFont="1" applyBorder="1" applyAlignment="1">
      <alignment/>
    </xf>
    <xf numFmtId="1" fontId="50" fillId="0" borderId="11" xfId="0" applyNumberFormat="1" applyFont="1" applyBorder="1" applyAlignment="1">
      <alignment/>
    </xf>
    <xf numFmtId="2" fontId="50" fillId="0" borderId="11" xfId="0" applyNumberFormat="1" applyFont="1" applyBorder="1" applyAlignment="1">
      <alignment horizontal="right" vertical="center"/>
    </xf>
    <xf numFmtId="0" fontId="52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44" fillId="33" borderId="11" xfId="0" applyFont="1" applyFill="1" applyBorder="1" applyAlignment="1">
      <alignment horizontal="center" vertical="center" wrapText="1"/>
    </xf>
    <xf numFmtId="0" fontId="49" fillId="37" borderId="14" xfId="52" applyFont="1" applyFill="1" applyBorder="1" applyAlignment="1" applyProtection="1">
      <alignment horizontal="left" wrapText="1"/>
      <protection/>
    </xf>
    <xf numFmtId="0" fontId="106" fillId="0" borderId="15" xfId="108" applyBorder="1" applyAlignment="1">
      <alignment horizontal="right"/>
      <protection/>
    </xf>
    <xf numFmtId="0" fontId="122" fillId="0" borderId="15" xfId="108" applyFont="1" applyBorder="1" applyAlignment="1">
      <alignment horizontal="right"/>
      <protection/>
    </xf>
    <xf numFmtId="0" fontId="122" fillId="33" borderId="12" xfId="108" applyFont="1" applyFill="1" applyBorder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45" fillId="33" borderId="12" xfId="0" applyFont="1" applyFill="1" applyBorder="1" applyAlignment="1">
      <alignment horizontal="right" vertical="center" wrapText="1"/>
    </xf>
    <xf numFmtId="0" fontId="145" fillId="33" borderId="11" xfId="0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right"/>
    </xf>
    <xf numFmtId="2" fontId="2" fillId="0" borderId="11" xfId="0" applyNumberFormat="1" applyFont="1" applyBorder="1" applyAlignment="1">
      <alignment/>
    </xf>
    <xf numFmtId="0" fontId="34" fillId="0" borderId="10" xfId="72" applyFont="1" applyBorder="1" applyAlignment="1">
      <alignment horizontal="center" vertical="top" wrapText="1"/>
      <protection/>
    </xf>
    <xf numFmtId="0" fontId="34" fillId="33" borderId="21" xfId="72" applyFont="1" applyFill="1" applyBorder="1" applyAlignment="1">
      <alignment horizontal="center" vertical="top" wrapText="1"/>
      <protection/>
    </xf>
    <xf numFmtId="0" fontId="34" fillId="33" borderId="11" xfId="72" applyFont="1" applyFill="1" applyBorder="1" applyAlignment="1">
      <alignment horizontal="center" vertical="top" wrapText="1"/>
      <protection/>
    </xf>
    <xf numFmtId="0" fontId="35" fillId="0" borderId="14" xfId="72" applyFont="1" applyBorder="1" applyAlignment="1" quotePrefix="1">
      <alignment horizontal="center" vertical="top" wrapText="1"/>
      <protection/>
    </xf>
    <xf numFmtId="0" fontId="124" fillId="0" borderId="11" xfId="72" applyFont="1" applyBorder="1" applyAlignment="1">
      <alignment horizontal="center"/>
      <protection/>
    </xf>
    <xf numFmtId="0" fontId="106" fillId="0" borderId="11" xfId="72" applyFont="1" applyBorder="1" applyAlignment="1">
      <alignment horizontal="center"/>
      <protection/>
    </xf>
    <xf numFmtId="0" fontId="2" fillId="0" borderId="0" xfId="77" applyFont="1">
      <alignment/>
      <protection/>
    </xf>
    <xf numFmtId="0" fontId="2" fillId="0" borderId="0" xfId="77" applyFont="1" applyAlignment="1">
      <alignment horizontal="center" vertical="top" wrapText="1"/>
      <protection/>
    </xf>
    <xf numFmtId="0" fontId="125" fillId="0" borderId="11" xfId="72" applyFont="1" applyBorder="1" applyAlignment="1">
      <alignment horizontal="center"/>
      <protection/>
    </xf>
    <xf numFmtId="0" fontId="2" fillId="0" borderId="0" xfId="77" applyFont="1" applyAlignment="1">
      <alignment vertical="top" wrapText="1"/>
      <protection/>
    </xf>
    <xf numFmtId="0" fontId="0" fillId="33" borderId="11" xfId="72" applyFont="1" applyFill="1" applyBorder="1" applyAlignment="1">
      <alignment vertical="center"/>
      <protection/>
    </xf>
    <xf numFmtId="0" fontId="0" fillId="0" borderId="11" xfId="72" applyFont="1" applyBorder="1" applyAlignment="1">
      <alignment vertical="center"/>
      <protection/>
    </xf>
    <xf numFmtId="0" fontId="0" fillId="0" borderId="11" xfId="77" applyFont="1" applyBorder="1" applyAlignment="1">
      <alignment vertical="center"/>
      <protection/>
    </xf>
    <xf numFmtId="0" fontId="33" fillId="0" borderId="11" xfId="72" applyFont="1" applyBorder="1" applyAlignment="1" quotePrefix="1">
      <alignment vertical="center" wrapText="1"/>
      <protection/>
    </xf>
    <xf numFmtId="0" fontId="0" fillId="33" borderId="11" xfId="72" applyFont="1" applyFill="1" applyBorder="1" applyAlignment="1">
      <alignment horizontal="right" vertical="center"/>
      <protection/>
    </xf>
    <xf numFmtId="0" fontId="0" fillId="0" borderId="11" xfId="77" applyFont="1" applyBorder="1" applyAlignment="1">
      <alignment horizontal="right" vertical="center"/>
      <protection/>
    </xf>
    <xf numFmtId="0" fontId="33" fillId="0" borderId="11" xfId="72" applyFont="1" applyBorder="1" applyAlignment="1" quotePrefix="1">
      <alignment horizontal="right" vertical="center" wrapText="1"/>
      <protection/>
    </xf>
    <xf numFmtId="0" fontId="2" fillId="0" borderId="11" xfId="72" applyFont="1" applyBorder="1" applyAlignment="1">
      <alignment horizontal="right" vertical="center"/>
      <protection/>
    </xf>
    <xf numFmtId="0" fontId="33" fillId="0" borderId="14" xfId="72" applyFont="1" applyBorder="1" applyAlignment="1" quotePrefix="1">
      <alignment horizontal="center" vertical="top" wrapText="1"/>
      <protection/>
    </xf>
    <xf numFmtId="0" fontId="137" fillId="36" borderId="11" xfId="0" applyFont="1" applyFill="1" applyBorder="1" applyAlignment="1">
      <alignment horizontal="right" wrapText="1"/>
    </xf>
    <xf numFmtId="0" fontId="53" fillId="33" borderId="11" xfId="72" applyFont="1" applyFill="1" applyBorder="1" applyAlignment="1" quotePrefix="1">
      <alignment horizontal="right" vertical="top" wrapText="1"/>
      <protection/>
    </xf>
    <xf numFmtId="0" fontId="0" fillId="33" borderId="11" xfId="72" applyFont="1" applyFill="1" applyBorder="1" applyAlignment="1">
      <alignment horizontal="right"/>
      <protection/>
    </xf>
    <xf numFmtId="0" fontId="0" fillId="0" borderId="12" xfId="0" applyBorder="1" applyAlignment="1">
      <alignment/>
    </xf>
    <xf numFmtId="0" fontId="35" fillId="0" borderId="11" xfId="0" applyFont="1" applyBorder="1" applyAlignment="1">
      <alignment horizontal="center" vertical="top" wrapText="1"/>
    </xf>
    <xf numFmtId="0" fontId="35" fillId="0" borderId="12" xfId="0" applyFont="1" applyBorder="1" applyAlignment="1" quotePrefix="1">
      <alignment horizontal="center" vertical="top" wrapText="1"/>
    </xf>
    <xf numFmtId="0" fontId="0" fillId="0" borderId="12" xfId="0" applyFont="1" applyBorder="1" applyAlignment="1">
      <alignment/>
    </xf>
    <xf numFmtId="0" fontId="146" fillId="33" borderId="11" xfId="0" applyFont="1" applyFill="1" applyBorder="1" applyAlignment="1">
      <alignment horizontal="center" wrapText="1"/>
    </xf>
    <xf numFmtId="0" fontId="146" fillId="33" borderId="11" xfId="0" applyFont="1" applyFill="1" applyBorder="1" applyAlignment="1">
      <alignment horizontal="center" vertical="center" wrapText="1"/>
    </xf>
    <xf numFmtId="1" fontId="11" fillId="33" borderId="11" xfId="92" applyNumberFormat="1" applyFont="1" applyFill="1" applyBorder="1" applyAlignment="1">
      <alignment horizontal="center"/>
      <protection/>
    </xf>
    <xf numFmtId="0" fontId="144" fillId="33" borderId="11" xfId="0" applyFont="1" applyFill="1" applyBorder="1" applyAlignment="1">
      <alignment vertical="center" wrapText="1"/>
    </xf>
    <xf numFmtId="0" fontId="0" fillId="33" borderId="11" xfId="0" applyFill="1" applyBorder="1" applyAlignment="1">
      <alignment vertical="center"/>
    </xf>
    <xf numFmtId="0" fontId="0" fillId="33" borderId="11" xfId="92" applyFont="1" applyFill="1" applyBorder="1" applyAlignment="1">
      <alignment horizontal="right" vertical="center"/>
      <protection/>
    </xf>
    <xf numFmtId="0" fontId="11" fillId="33" borderId="11" xfId="92" applyFont="1" applyFill="1" applyBorder="1" applyAlignment="1">
      <alignment vertical="center"/>
      <protection/>
    </xf>
    <xf numFmtId="0" fontId="0" fillId="33" borderId="11" xfId="92" applyFont="1" applyFill="1" applyBorder="1" applyAlignment="1">
      <alignment vertical="center"/>
      <protection/>
    </xf>
    <xf numFmtId="0" fontId="0" fillId="33" borderId="11" xfId="92" applyFont="1" applyFill="1" applyBorder="1" applyAlignment="1">
      <alignment vertical="center" wrapText="1"/>
      <protection/>
    </xf>
    <xf numFmtId="0" fontId="147" fillId="33" borderId="11" xfId="0" applyFont="1" applyFill="1" applyBorder="1" applyAlignment="1">
      <alignment horizontal="center" vertical="center" wrapText="1" readingOrder="1"/>
    </xf>
    <xf numFmtId="0" fontId="12" fillId="33" borderId="11" xfId="92" applyFont="1" applyFill="1" applyBorder="1" applyAlignment="1">
      <alignment vertical="center"/>
      <protection/>
    </xf>
    <xf numFmtId="0" fontId="12" fillId="33" borderId="11" xfId="92" applyFont="1" applyFill="1" applyBorder="1" applyAlignment="1">
      <alignment horizontal="center"/>
      <protection/>
    </xf>
    <xf numFmtId="0" fontId="12" fillId="33" borderId="11" xfId="92" applyFont="1" applyFill="1" applyBorder="1" applyAlignment="1">
      <alignment horizontal="center" vertical="top" wrapText="1"/>
      <protection/>
    </xf>
    <xf numFmtId="0" fontId="12" fillId="33" borderId="11" xfId="0" applyFont="1" applyFill="1" applyBorder="1" applyAlignment="1">
      <alignment/>
    </xf>
    <xf numFmtId="0" fontId="12" fillId="33" borderId="11" xfId="92" applyFont="1" applyFill="1" applyBorder="1">
      <alignment/>
      <protection/>
    </xf>
    <xf numFmtId="0" fontId="12" fillId="33" borderId="11" xfId="92" applyFont="1" applyFill="1" applyBorder="1" applyAlignment="1">
      <alignment vertical="center" wrapText="1"/>
      <protection/>
    </xf>
    <xf numFmtId="0" fontId="0" fillId="33" borderId="11" xfId="0" applyFont="1" applyFill="1" applyBorder="1" applyAlignment="1">
      <alignment vertical="center"/>
    </xf>
    <xf numFmtId="0" fontId="148" fillId="33" borderId="11" xfId="0" applyFont="1" applyFill="1" applyBorder="1" applyAlignment="1">
      <alignment vertical="center" wrapText="1" readingOrder="1"/>
    </xf>
    <xf numFmtId="0" fontId="149" fillId="33" borderId="11" xfId="72" applyFont="1" applyFill="1" applyBorder="1" applyAlignment="1">
      <alignment vertical="center" wrapText="1"/>
      <protection/>
    </xf>
    <xf numFmtId="0" fontId="0" fillId="0" borderId="11" xfId="92" applyBorder="1" applyAlignment="1">
      <alignment/>
      <protection/>
    </xf>
    <xf numFmtId="0" fontId="136" fillId="0" borderId="11" xfId="0" applyFont="1" applyBorder="1" applyAlignment="1">
      <alignment horizontal="right" vertical="center" wrapText="1" readingOrder="1"/>
    </xf>
    <xf numFmtId="0" fontId="12" fillId="0" borderId="24" xfId="92" applyFont="1" applyBorder="1" applyAlignment="1">
      <alignment horizontal="right" vertical="center" wrapText="1"/>
      <protection/>
    </xf>
    <xf numFmtId="0" fontId="12" fillId="0" borderId="24" xfId="0" applyFont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top" wrapText="1"/>
    </xf>
    <xf numFmtId="0" fontId="146" fillId="0" borderId="0" xfId="0" applyFont="1" applyAlignment="1">
      <alignment/>
    </xf>
    <xf numFmtId="2" fontId="9" fillId="0" borderId="0" xfId="0" applyNumberFormat="1" applyFont="1" applyAlignment="1">
      <alignment/>
    </xf>
    <xf numFmtId="0" fontId="48" fillId="0" borderId="11" xfId="90" applyFont="1" applyBorder="1" applyAlignment="1">
      <alignment vertical="top" wrapText="1"/>
      <protection/>
    </xf>
    <xf numFmtId="0" fontId="48" fillId="0" borderId="11" xfId="90" applyFont="1" applyBorder="1" applyAlignment="1">
      <alignment vertical="center" wrapText="1"/>
      <protection/>
    </xf>
    <xf numFmtId="0" fontId="150" fillId="0" borderId="11" xfId="90" applyFont="1" applyBorder="1" applyAlignment="1">
      <alignment/>
      <protection/>
    </xf>
    <xf numFmtId="0" fontId="150" fillId="0" borderId="11" xfId="90" applyFont="1" applyBorder="1" applyAlignment="1">
      <alignment vertical="center"/>
      <protection/>
    </xf>
    <xf numFmtId="2" fontId="18" fillId="0" borderId="11" xfId="90" applyNumberFormat="1" applyFont="1" applyBorder="1" applyAlignment="1">
      <alignment horizontal="right" vertical="center" wrapText="1"/>
      <protection/>
    </xf>
    <xf numFmtId="0" fontId="151" fillId="0" borderId="11" xfId="90" applyFont="1" applyBorder="1">
      <alignment/>
      <protection/>
    </xf>
    <xf numFmtId="0" fontId="6" fillId="0" borderId="0" xfId="92" applyFont="1" applyAlignment="1">
      <alignment horizontal="center" vertical="top" wrapText="1"/>
      <protection/>
    </xf>
    <xf numFmtId="0" fontId="3" fillId="0" borderId="0" xfId="72" applyFont="1" applyAlignment="1">
      <alignment horizontal="center"/>
      <protection/>
    </xf>
    <xf numFmtId="0" fontId="6" fillId="0" borderId="0" xfId="72" applyFont="1" applyAlignment="1">
      <alignment horizontal="left"/>
      <protection/>
    </xf>
    <xf numFmtId="0" fontId="11" fillId="0" borderId="0" xfId="72" applyFont="1" applyAlignment="1">
      <alignment horizontal="left"/>
      <protection/>
    </xf>
    <xf numFmtId="0" fontId="6" fillId="0" borderId="11" xfId="72" applyFont="1" applyBorder="1" applyAlignment="1">
      <alignment horizontal="center" vertical="top" wrapText="1"/>
      <protection/>
    </xf>
    <xf numFmtId="0" fontId="79" fillId="0" borderId="11" xfId="0" applyFont="1" applyBorder="1" applyAlignment="1" quotePrefix="1">
      <alignment horizontal="center" vertical="center" wrapText="1"/>
    </xf>
    <xf numFmtId="0" fontId="79" fillId="0" borderId="11" xfId="0" applyFont="1" applyBorder="1" applyAlignment="1" quotePrefix="1">
      <alignment horizontal="center" vertical="top" wrapText="1"/>
    </xf>
    <xf numFmtId="0" fontId="152" fillId="0" borderId="11" xfId="0" applyFont="1" applyBorder="1" applyAlignment="1">
      <alignment horizontal="center" vertical="center"/>
    </xf>
    <xf numFmtId="0" fontId="152" fillId="0" borderId="11" xfId="0" applyFont="1" applyBorder="1" applyAlignment="1">
      <alignment horizontal="center"/>
    </xf>
    <xf numFmtId="0" fontId="152" fillId="0" borderId="11" xfId="0" applyFont="1" applyFill="1" applyBorder="1" applyAlignment="1">
      <alignment horizontal="center" vertical="center"/>
    </xf>
    <xf numFmtId="0" fontId="152" fillId="0" borderId="11" xfId="0" applyFont="1" applyFill="1" applyBorder="1" applyAlignment="1">
      <alignment horizontal="center"/>
    </xf>
    <xf numFmtId="0" fontId="5" fillId="0" borderId="0" xfId="92" applyFont="1" applyAlignment="1">
      <alignment/>
      <protection/>
    </xf>
    <xf numFmtId="0" fontId="11" fillId="33" borderId="11" xfId="0" applyFont="1" applyFill="1" applyBorder="1" applyAlignment="1">
      <alignment vertical="center"/>
    </xf>
    <xf numFmtId="0" fontId="144" fillId="33" borderId="14" xfId="0" applyFont="1" applyFill="1" applyBorder="1" applyAlignment="1">
      <alignment horizontal="center" vertical="center" wrapText="1"/>
    </xf>
    <xf numFmtId="0" fontId="146" fillId="33" borderId="11" xfId="0" applyFont="1" applyFill="1" applyBorder="1" applyAlignment="1">
      <alignment horizontal="right" wrapText="1"/>
    </xf>
    <xf numFmtId="1" fontId="11" fillId="33" borderId="11" xfId="92" applyNumberFormat="1" applyFont="1" applyFill="1" applyBorder="1" applyAlignment="1">
      <alignment horizontal="right"/>
      <protection/>
    </xf>
    <xf numFmtId="0" fontId="153" fillId="33" borderId="11" xfId="0" applyFont="1" applyFill="1" applyBorder="1" applyAlignment="1">
      <alignment horizontal="center" vertical="center" wrapText="1"/>
    </xf>
    <xf numFmtId="0" fontId="153" fillId="33" borderId="11" xfId="0" applyFont="1" applyFill="1" applyBorder="1" applyAlignment="1">
      <alignment vertical="center" wrapText="1"/>
    </xf>
    <xf numFmtId="0" fontId="54" fillId="33" borderId="11" xfId="92" applyFont="1" applyFill="1" applyBorder="1" applyAlignment="1">
      <alignment horizontal="right" vertical="center" wrapText="1"/>
      <protection/>
    </xf>
    <xf numFmtId="0" fontId="54" fillId="33" borderId="11" xfId="0" applyFont="1" applyFill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4" fillId="33" borderId="11" xfId="92" applyFont="1" applyFill="1" applyBorder="1" applyAlignment="1">
      <alignment horizontal="center" vertical="center" wrapText="1"/>
      <protection/>
    </xf>
    <xf numFmtId="0" fontId="154" fillId="33" borderId="11" xfId="0" applyFont="1" applyFill="1" applyBorder="1" applyAlignment="1">
      <alignment vertical="center" wrapText="1"/>
    </xf>
    <xf numFmtId="0" fontId="54" fillId="33" borderId="11" xfId="92" applyFont="1" applyFill="1" applyBorder="1" applyAlignment="1">
      <alignment vertical="center"/>
      <protection/>
    </xf>
    <xf numFmtId="0" fontId="4" fillId="0" borderId="11" xfId="92" applyFont="1" applyBorder="1" applyAlignment="1">
      <alignment horizontal="center" vertical="center"/>
      <protection/>
    </xf>
    <xf numFmtId="0" fontId="54" fillId="0" borderId="12" xfId="92" applyFont="1" applyBorder="1" applyAlignment="1">
      <alignment vertical="center"/>
      <protection/>
    </xf>
    <xf numFmtId="0" fontId="54" fillId="0" borderId="12" xfId="92" applyFont="1" applyFill="1" applyBorder="1" applyAlignment="1">
      <alignment vertical="center"/>
      <protection/>
    </xf>
    <xf numFmtId="0" fontId="54" fillId="0" borderId="11" xfId="92" applyFont="1" applyBorder="1" applyAlignment="1">
      <alignment vertical="center"/>
      <protection/>
    </xf>
    <xf numFmtId="0" fontId="54" fillId="0" borderId="12" xfId="92" applyFont="1" applyBorder="1" applyAlignment="1">
      <alignment horizontal="center" vertical="center"/>
      <protection/>
    </xf>
    <xf numFmtId="0" fontId="31" fillId="0" borderId="0" xfId="72" applyFont="1" applyAlignment="1">
      <alignment/>
      <protection/>
    </xf>
    <xf numFmtId="0" fontId="32" fillId="0" borderId="0" xfId="72" applyFont="1" applyAlignment="1">
      <alignment/>
      <protection/>
    </xf>
    <xf numFmtId="0" fontId="0" fillId="0" borderId="0" xfId="72" applyAlignment="1">
      <alignment horizontal="center"/>
      <protection/>
    </xf>
    <xf numFmtId="0" fontId="155" fillId="0" borderId="0" xfId="72" applyFont="1" applyBorder="1" applyAlignment="1">
      <alignment horizontal="center" vertical="center"/>
      <protection/>
    </xf>
    <xf numFmtId="0" fontId="127" fillId="0" borderId="11" xfId="72" applyFont="1" applyBorder="1" applyAlignment="1">
      <alignment vertical="top" wrapText="1"/>
      <protection/>
    </xf>
    <xf numFmtId="0" fontId="127" fillId="0" borderId="11" xfId="72" applyFont="1" applyBorder="1" applyAlignment="1">
      <alignment horizontal="center" vertical="top" wrapText="1"/>
      <protection/>
    </xf>
    <xf numFmtId="0" fontId="122" fillId="0" borderId="0" xfId="72" applyFont="1">
      <alignment/>
      <protection/>
    </xf>
    <xf numFmtId="0" fontId="140" fillId="0" borderId="11" xfId="72" applyFont="1" applyBorder="1" applyAlignment="1">
      <alignment vertical="center" wrapText="1"/>
      <protection/>
    </xf>
    <xf numFmtId="0" fontId="140" fillId="0" borderId="11" xfId="72" applyFont="1" applyBorder="1" applyAlignment="1">
      <alignment horizontal="left" vertical="center" wrapText="1" indent="2"/>
      <protection/>
    </xf>
    <xf numFmtId="0" fontId="140" fillId="0" borderId="11" xfId="72" applyFont="1" applyBorder="1" applyAlignment="1">
      <alignment horizontal="right" vertical="center" wrapText="1"/>
      <protection/>
    </xf>
    <xf numFmtId="0" fontId="116" fillId="0" borderId="11" xfId="52" applyFont="1" applyBorder="1" applyAlignment="1" applyProtection="1">
      <alignment horizontal="right" vertical="center" wrapText="1"/>
      <protection/>
    </xf>
    <xf numFmtId="0" fontId="140" fillId="0" borderId="0" xfId="72" applyFont="1" applyBorder="1" applyAlignment="1">
      <alignment horizontal="left" vertical="center" wrapText="1" indent="2"/>
      <protection/>
    </xf>
    <xf numFmtId="0" fontId="140" fillId="0" borderId="0" xfId="72" applyFont="1" applyBorder="1" applyAlignment="1">
      <alignment vertical="center" wrapText="1"/>
      <protection/>
    </xf>
    <xf numFmtId="0" fontId="122" fillId="0" borderId="11" xfId="72" applyFont="1" applyBorder="1" applyAlignment="1">
      <alignment horizontal="center" vertical="top" wrapText="1"/>
      <protection/>
    </xf>
    <xf numFmtId="0" fontId="122" fillId="0" borderId="11" xfId="72" applyFont="1" applyBorder="1" applyAlignment="1">
      <alignment vertical="top" wrapText="1"/>
      <protection/>
    </xf>
    <xf numFmtId="0" fontId="122" fillId="0" borderId="14" xfId="72" applyFont="1" applyBorder="1" applyAlignment="1">
      <alignment horizontal="center" vertical="top" wrapText="1"/>
      <protection/>
    </xf>
    <xf numFmtId="0" fontId="140" fillId="0" borderId="14" xfId="72" applyFont="1" applyBorder="1" applyAlignment="1">
      <alignment vertical="center" wrapText="1"/>
      <protection/>
    </xf>
    <xf numFmtId="0" fontId="122" fillId="0" borderId="11" xfId="72" applyFont="1" applyBorder="1">
      <alignment/>
      <protection/>
    </xf>
    <xf numFmtId="164" fontId="140" fillId="0" borderId="14" xfId="72" applyNumberFormat="1" applyFont="1" applyBorder="1" applyAlignment="1">
      <alignment vertical="center" wrapText="1"/>
      <protection/>
    </xf>
    <xf numFmtId="0" fontId="122" fillId="0" borderId="11" xfId="72" applyFont="1" applyBorder="1" applyAlignment="1">
      <alignment horizontal="right" vertical="center"/>
      <protection/>
    </xf>
    <xf numFmtId="0" fontId="122" fillId="0" borderId="11" xfId="72" applyFont="1" applyBorder="1" applyAlignment="1">
      <alignment horizontal="right" vertical="center" wrapText="1"/>
      <protection/>
    </xf>
    <xf numFmtId="0" fontId="122" fillId="0" borderId="11" xfId="72" applyFont="1" applyBorder="1" applyAlignment="1">
      <alignment horizontal="center" wrapText="1"/>
      <protection/>
    </xf>
    <xf numFmtId="0" fontId="140" fillId="0" borderId="11" xfId="72" applyFont="1" applyBorder="1" applyAlignment="1">
      <alignment horizontal="center" vertical="center" wrapText="1"/>
      <protection/>
    </xf>
    <xf numFmtId="17" fontId="140" fillId="0" borderId="14" xfId="72" applyNumberFormat="1" applyFont="1" applyBorder="1" applyAlignment="1">
      <alignment vertical="center" wrapText="1"/>
      <protection/>
    </xf>
    <xf numFmtId="0" fontId="122" fillId="0" borderId="11" xfId="72" applyFont="1" applyBorder="1" applyAlignment="1">
      <alignment wrapText="1"/>
      <protection/>
    </xf>
    <xf numFmtId="0" fontId="2" fillId="0" borderId="0" xfId="86" applyFont="1">
      <alignment/>
      <protection/>
    </xf>
    <xf numFmtId="0" fontId="2" fillId="0" borderId="0" xfId="86" applyFont="1" applyAlignment="1">
      <alignment vertical="top" wrapText="1"/>
      <protection/>
    </xf>
    <xf numFmtId="0" fontId="2" fillId="0" borderId="0" xfId="86" applyFont="1" applyAlignment="1">
      <alignment horizontal="center" vertical="top" wrapText="1"/>
      <protection/>
    </xf>
    <xf numFmtId="0" fontId="2" fillId="0" borderId="0" xfId="86" applyFont="1" applyAlignment="1">
      <alignment horizontal="center"/>
      <protection/>
    </xf>
    <xf numFmtId="0" fontId="2" fillId="0" borderId="0" xfId="86" applyFont="1" applyAlignment="1">
      <alignment/>
      <protection/>
    </xf>
    <xf numFmtId="2" fontId="0" fillId="0" borderId="0" xfId="92" applyNumberFormat="1" applyFont="1">
      <alignment/>
      <protection/>
    </xf>
    <xf numFmtId="0" fontId="49" fillId="33" borderId="11" xfId="52" applyFont="1" applyFill="1" applyBorder="1" applyAlignment="1" applyProtection="1">
      <alignment horizontal="left" wrapText="1"/>
      <protection/>
    </xf>
    <xf numFmtId="0" fontId="2" fillId="0" borderId="0" xfId="83" applyFont="1">
      <alignment/>
      <protection/>
    </xf>
    <xf numFmtId="0" fontId="6" fillId="0" borderId="0" xfId="83" applyFont="1">
      <alignment/>
      <protection/>
    </xf>
    <xf numFmtId="0" fontId="2" fillId="0" borderId="0" xfId="83" applyFont="1" applyBorder="1" applyAlignment="1">
      <alignment/>
      <protection/>
    </xf>
    <xf numFmtId="0" fontId="2" fillId="0" borderId="0" xfId="83" applyFont="1" applyBorder="1">
      <alignment/>
      <protection/>
    </xf>
    <xf numFmtId="0" fontId="2" fillId="33" borderId="11" xfId="83" applyFont="1" applyFill="1" applyBorder="1" applyAlignment="1">
      <alignment horizontal="center" vertical="center"/>
      <protection/>
    </xf>
    <xf numFmtId="17" fontId="2" fillId="0" borderId="11" xfId="83" applyNumberFormat="1" applyFont="1" applyBorder="1" applyAlignment="1">
      <alignment horizontal="center" vertical="center"/>
      <protection/>
    </xf>
    <xf numFmtId="0" fontId="35" fillId="0" borderId="11" xfId="72" applyFont="1" applyBorder="1" applyAlignment="1">
      <alignment horizontal="center" vertical="top" wrapText="1"/>
      <protection/>
    </xf>
    <xf numFmtId="0" fontId="2" fillId="0" borderId="11" xfId="83" applyFont="1" applyBorder="1" applyAlignment="1">
      <alignment horizontal="center" vertical="center"/>
      <protection/>
    </xf>
    <xf numFmtId="0" fontId="106" fillId="0" borderId="11" xfId="67" applyBorder="1">
      <alignment/>
      <protection/>
    </xf>
    <xf numFmtId="0" fontId="0" fillId="0" borderId="0" xfId="83" applyFont="1">
      <alignment/>
      <protection/>
    </xf>
    <xf numFmtId="0" fontId="2" fillId="33" borderId="11" xfId="83" applyFont="1" applyFill="1" applyBorder="1" applyAlignment="1" quotePrefix="1">
      <alignment horizontal="center" vertical="top" wrapText="1"/>
      <protection/>
    </xf>
    <xf numFmtId="0" fontId="35" fillId="0" borderId="11" xfId="72" applyFont="1" applyBorder="1" applyAlignment="1">
      <alignment horizontal="center" vertical="center" wrapText="1"/>
      <protection/>
    </xf>
    <xf numFmtId="0" fontId="34" fillId="0" borderId="11" xfId="72" applyFont="1" applyBorder="1" applyAlignment="1">
      <alignment horizontal="center" vertical="center" wrapText="1"/>
      <protection/>
    </xf>
    <xf numFmtId="0" fontId="0" fillId="0" borderId="11" xfId="98" applyFont="1" applyBorder="1" applyAlignment="1">
      <alignment horizontal="center" vertical="center"/>
      <protection/>
    </xf>
    <xf numFmtId="0" fontId="106" fillId="33" borderId="11" xfId="83" applyFill="1" applyBorder="1" applyAlignment="1">
      <alignment horizontal="center" vertical="center"/>
      <protection/>
    </xf>
    <xf numFmtId="0" fontId="0" fillId="33" borderId="11" xfId="98" applyFont="1" applyFill="1" applyBorder="1" applyAlignment="1">
      <alignment horizontal="center" vertical="center"/>
      <protection/>
    </xf>
    <xf numFmtId="0" fontId="125" fillId="0" borderId="0" xfId="0" applyFont="1" applyBorder="1" applyAlignment="1">
      <alignment horizontal="center"/>
    </xf>
    <xf numFmtId="0" fontId="6" fillId="0" borderId="0" xfId="83" applyFont="1" applyBorder="1">
      <alignment/>
      <protection/>
    </xf>
    <xf numFmtId="0" fontId="18" fillId="0" borderId="11" xfId="70" applyFont="1" applyBorder="1" applyAlignment="1">
      <alignment horizontal="right" vertical="center"/>
      <protection/>
    </xf>
    <xf numFmtId="0" fontId="18" fillId="0" borderId="11" xfId="70" applyFont="1" applyBorder="1" applyAlignment="1">
      <alignment horizontal="right" vertical="center" wrapText="1"/>
      <protection/>
    </xf>
    <xf numFmtId="0" fontId="0" fillId="0" borderId="11" xfId="0" applyBorder="1" applyAlignment="1">
      <alignment horizontal="right" vertical="center"/>
    </xf>
    <xf numFmtId="2" fontId="18" fillId="0" borderId="11" xfId="70" applyNumberFormat="1" applyFont="1" applyBorder="1" applyAlignment="1">
      <alignment horizontal="right" vertical="center" wrapText="1"/>
      <protection/>
    </xf>
    <xf numFmtId="0" fontId="31" fillId="0" borderId="0" xfId="0" applyFont="1" applyAlignment="1">
      <alignment horizontal="center"/>
    </xf>
    <xf numFmtId="0" fontId="2" fillId="33" borderId="11" xfId="83" applyFont="1" applyFill="1" applyBorder="1" applyAlignment="1" quotePrefix="1">
      <alignment horizontal="center" vertical="top" wrapText="1"/>
      <protection/>
    </xf>
    <xf numFmtId="0" fontId="0" fillId="0" borderId="0" xfId="93" applyAlignment="1">
      <alignment horizontal="left"/>
      <protection/>
    </xf>
    <xf numFmtId="0" fontId="16" fillId="0" borderId="14" xfId="93" applyFont="1" applyBorder="1" applyAlignment="1">
      <alignment horizontal="center" vertical="top" wrapText="1"/>
      <protection/>
    </xf>
    <xf numFmtId="0" fontId="16" fillId="0" borderId="18" xfId="93" applyFont="1" applyBorder="1" applyAlignment="1">
      <alignment horizontal="center" vertical="top" wrapText="1"/>
      <protection/>
    </xf>
    <xf numFmtId="0" fontId="16" fillId="0" borderId="15" xfId="93" applyFont="1" applyBorder="1" applyAlignment="1">
      <alignment horizontal="center" vertical="top" wrapText="1"/>
      <protection/>
    </xf>
    <xf numFmtId="0" fontId="63" fillId="0" borderId="11" xfId="92" applyFont="1" applyBorder="1">
      <alignment/>
      <protection/>
    </xf>
    <xf numFmtId="0" fontId="33" fillId="0" borderId="11" xfId="72" applyFont="1" applyBorder="1" applyAlignment="1" quotePrefix="1">
      <alignment horizontal="right" vertical="top" wrapText="1"/>
      <protection/>
    </xf>
    <xf numFmtId="0" fontId="0" fillId="0" borderId="11" xfId="72" applyBorder="1" applyAlignment="1">
      <alignment horizontal="right"/>
      <protection/>
    </xf>
    <xf numFmtId="0" fontId="35" fillId="0" borderId="11" xfId="72" applyFont="1" applyBorder="1" applyAlignment="1" quotePrefix="1">
      <alignment horizontal="right" vertical="top" wrapText="1"/>
      <protection/>
    </xf>
    <xf numFmtId="0" fontId="0" fillId="0" borderId="0" xfId="83" applyFont="1" applyBorder="1" applyAlignment="1">
      <alignment horizontal="center"/>
      <protection/>
    </xf>
    <xf numFmtId="0" fontId="2" fillId="0" borderId="0" xfId="84" applyFont="1">
      <alignment/>
      <protection/>
    </xf>
    <xf numFmtId="0" fontId="16" fillId="0" borderId="0" xfId="84" applyFont="1" applyAlignment="1">
      <alignment horizontal="left"/>
      <protection/>
    </xf>
    <xf numFmtId="0" fontId="2" fillId="0" borderId="0" xfId="84" applyFont="1" applyAlignment="1">
      <alignment horizontal="center"/>
      <protection/>
    </xf>
    <xf numFmtId="0" fontId="6" fillId="0" borderId="0" xfId="84" applyFont="1">
      <alignment/>
      <protection/>
    </xf>
    <xf numFmtId="0" fontId="2" fillId="0" borderId="0" xfId="84" applyFont="1" applyBorder="1" applyAlignment="1">
      <alignment/>
      <protection/>
    </xf>
    <xf numFmtId="0" fontId="0" fillId="0" borderId="0" xfId="84" applyFont="1" applyBorder="1" applyAlignment="1">
      <alignment/>
      <protection/>
    </xf>
    <xf numFmtId="0" fontId="2" fillId="0" borderId="0" xfId="84" applyFont="1" applyBorder="1">
      <alignment/>
      <protection/>
    </xf>
    <xf numFmtId="0" fontId="2" fillId="33" borderId="11" xfId="84" applyFont="1" applyFill="1" applyBorder="1" applyAlignment="1">
      <alignment horizontal="center" vertical="center"/>
      <protection/>
    </xf>
    <xf numFmtId="0" fontId="2" fillId="0" borderId="11" xfId="84" applyFont="1" applyBorder="1" applyAlignment="1">
      <alignment horizontal="center" vertical="center"/>
      <protection/>
    </xf>
    <xf numFmtId="0" fontId="0" fillId="0" borderId="11" xfId="84" applyFont="1" applyBorder="1">
      <alignment/>
      <protection/>
    </xf>
    <xf numFmtId="0" fontId="0" fillId="0" borderId="0" xfId="84" applyFont="1">
      <alignment/>
      <protection/>
    </xf>
    <xf numFmtId="17" fontId="2" fillId="33" borderId="11" xfId="83" applyNumberFormat="1" applyFont="1" applyFill="1" applyBorder="1" applyAlignment="1">
      <alignment horizontal="center" vertical="center"/>
      <protection/>
    </xf>
    <xf numFmtId="0" fontId="106" fillId="33" borderId="11" xfId="83" applyFill="1" applyBorder="1" applyAlignment="1">
      <alignment horizontal="left" vertical="center"/>
      <protection/>
    </xf>
    <xf numFmtId="2" fontId="151" fillId="0" borderId="11" xfId="90" applyNumberFormat="1" applyFont="1" applyBorder="1">
      <alignment/>
      <protection/>
    </xf>
    <xf numFmtId="0" fontId="106" fillId="0" borderId="0" xfId="90" applyFont="1">
      <alignment/>
      <protection/>
    </xf>
    <xf numFmtId="0" fontId="106" fillId="0" borderId="0" xfId="91">
      <alignment/>
      <protection/>
    </xf>
    <xf numFmtId="0" fontId="106" fillId="0" borderId="0" xfId="91" applyAlignment="1">
      <alignment horizontal="left"/>
      <protection/>
    </xf>
    <xf numFmtId="0" fontId="17" fillId="0" borderId="0" xfId="91" applyFont="1">
      <alignment/>
      <protection/>
    </xf>
    <xf numFmtId="0" fontId="17" fillId="0" borderId="0" xfId="91" applyFont="1" applyBorder="1" applyAlignment="1">
      <alignment horizontal="left"/>
      <protection/>
    </xf>
    <xf numFmtId="0" fontId="106" fillId="0" borderId="0" xfId="91" applyBorder="1" applyAlignment="1">
      <alignment horizontal="center"/>
      <protection/>
    </xf>
    <xf numFmtId="0" fontId="17" fillId="0" borderId="0" xfId="91" applyFont="1" applyAlignment="1">
      <alignment horizontal="center"/>
      <protection/>
    </xf>
    <xf numFmtId="0" fontId="19" fillId="0" borderId="11" xfId="91" applyFont="1" applyBorder="1" applyAlignment="1">
      <alignment horizontal="center" vertical="top" wrapText="1"/>
      <protection/>
    </xf>
    <xf numFmtId="0" fontId="26" fillId="0" borderId="12" xfId="91" applyFont="1" applyBorder="1" applyAlignment="1">
      <alignment horizontal="center" vertical="top" wrapText="1"/>
      <protection/>
    </xf>
    <xf numFmtId="0" fontId="23" fillId="0" borderId="0" xfId="91" applyFont="1" applyAlignment="1">
      <alignment horizontal="center"/>
      <protection/>
    </xf>
    <xf numFmtId="0" fontId="106" fillId="0" borderId="11" xfId="91" applyBorder="1" applyAlignment="1">
      <alignment horizontal="center"/>
      <protection/>
    </xf>
    <xf numFmtId="49" fontId="18" fillId="0" borderId="11" xfId="91" applyNumberFormat="1" applyFont="1" applyBorder="1" applyAlignment="1">
      <alignment vertical="top" wrapText="1"/>
      <protection/>
    </xf>
    <xf numFmtId="0" fontId="106" fillId="0" borderId="11" xfId="91" applyBorder="1">
      <alignment/>
      <protection/>
    </xf>
    <xf numFmtId="0" fontId="18" fillId="0" borderId="11" xfId="91" applyFont="1" applyBorder="1" applyAlignment="1">
      <alignment vertical="top" wrapText="1"/>
      <protection/>
    </xf>
    <xf numFmtId="0" fontId="122" fillId="0" borderId="11" xfId="91" applyFont="1" applyBorder="1" applyAlignment="1">
      <alignment horizontal="center"/>
      <protection/>
    </xf>
    <xf numFmtId="0" fontId="106" fillId="0" borderId="0" xfId="91" applyBorder="1">
      <alignment/>
      <protection/>
    </xf>
    <xf numFmtId="0" fontId="2" fillId="0" borderId="11" xfId="93" applyFont="1" applyBorder="1" applyAlignment="1" quotePrefix="1">
      <alignment horizontal="center"/>
      <protection/>
    </xf>
    <xf numFmtId="0" fontId="156" fillId="33" borderId="11" xfId="61" applyFont="1" applyFill="1" applyBorder="1" applyAlignment="1">
      <alignment horizontal="center"/>
      <protection/>
    </xf>
    <xf numFmtId="0" fontId="156" fillId="0" borderId="11" xfId="61" applyFont="1" applyBorder="1" applyAlignment="1">
      <alignment horizontal="center"/>
      <protection/>
    </xf>
    <xf numFmtId="1" fontId="156" fillId="0" borderId="11" xfId="0" applyNumberFormat="1" applyFont="1" applyBorder="1" applyAlignment="1">
      <alignment/>
    </xf>
    <xf numFmtId="0" fontId="156" fillId="0" borderId="11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2" fontId="2" fillId="0" borderId="11" xfId="93" applyNumberFormat="1" applyFont="1" applyBorder="1">
      <alignment/>
      <protection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16" fillId="34" borderId="0" xfId="0" applyFont="1" applyFill="1" applyAlignment="1">
      <alignment/>
    </xf>
    <xf numFmtId="0" fontId="16" fillId="33" borderId="14" xfId="0" applyFont="1" applyFill="1" applyBorder="1" applyAlignment="1">
      <alignment horizontal="center" vertical="top" wrapText="1"/>
    </xf>
    <xf numFmtId="2" fontId="16" fillId="33" borderId="11" xfId="0" applyNumberFormat="1" applyFont="1" applyFill="1" applyBorder="1" applyAlignment="1">
      <alignment horizontal="center" vertical="top" wrapText="1"/>
    </xf>
    <xf numFmtId="2" fontId="16" fillId="33" borderId="11" xfId="0" applyNumberFormat="1" applyFont="1" applyFill="1" applyBorder="1" applyAlignment="1">
      <alignment horizontal="right" vertical="top" wrapText="1"/>
    </xf>
    <xf numFmtId="2" fontId="2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0" fontId="0" fillId="33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0" fillId="33" borderId="14" xfId="0" applyFont="1" applyFill="1" applyBorder="1" applyAlignment="1">
      <alignment horizontal="right" vertical="center"/>
    </xf>
    <xf numFmtId="0" fontId="0" fillId="35" borderId="15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right" vertical="center"/>
    </xf>
    <xf numFmtId="2" fontId="0" fillId="35" borderId="14" xfId="0" applyNumberFormat="1" applyFont="1" applyFill="1" applyBorder="1" applyAlignment="1">
      <alignment horizontal="right" vertical="center"/>
    </xf>
    <xf numFmtId="2" fontId="0" fillId="35" borderId="15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6" fillId="0" borderId="11" xfId="0" applyFont="1" applyBorder="1" applyAlignment="1" quotePrefix="1">
      <alignment horizontal="center" vertical="top" wrapText="1"/>
    </xf>
    <xf numFmtId="0" fontId="0" fillId="35" borderId="11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6" fillId="0" borderId="14" xfId="0" applyFont="1" applyBorder="1" applyAlignment="1" quotePrefix="1">
      <alignment horizontal="center" vertical="top" wrapText="1"/>
    </xf>
    <xf numFmtId="0" fontId="16" fillId="0" borderId="18" xfId="0" applyFont="1" applyBorder="1" applyAlignment="1" quotePrefix="1">
      <alignment horizontal="center" vertical="top" wrapText="1"/>
    </xf>
    <xf numFmtId="0" fontId="16" fillId="0" borderId="15" xfId="0" applyFont="1" applyBorder="1" applyAlignment="1" quotePrefix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4" fillId="0" borderId="11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14" fillId="0" borderId="0" xfId="0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24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6" fillId="0" borderId="0" xfId="100" applyFont="1" applyAlignment="1">
      <alignment horizontal="left"/>
      <protection/>
    </xf>
    <xf numFmtId="0" fontId="11" fillId="0" borderId="14" xfId="100" applyFont="1" applyBorder="1" applyAlignment="1">
      <alignment horizontal="center" vertical="top" wrapText="1"/>
      <protection/>
    </xf>
    <xf numFmtId="0" fontId="11" fillId="0" borderId="15" xfId="100" applyFont="1" applyBorder="1" applyAlignment="1">
      <alignment horizontal="center" vertical="top" wrapText="1"/>
      <protection/>
    </xf>
    <xf numFmtId="0" fontId="12" fillId="0" borderId="0" xfId="100" applyFont="1" applyAlignment="1">
      <alignment horizontal="left"/>
      <protection/>
    </xf>
    <xf numFmtId="0" fontId="6" fillId="0" borderId="0" xfId="92" applyFont="1" applyAlignment="1">
      <alignment horizontal="center" vertical="top" wrapText="1"/>
      <protection/>
    </xf>
    <xf numFmtId="0" fontId="12" fillId="0" borderId="21" xfId="100" applyFont="1" applyBorder="1" applyAlignment="1">
      <alignment horizontal="center" vertical="top" wrapText="1"/>
      <protection/>
    </xf>
    <xf numFmtId="0" fontId="12" fillId="0" borderId="28" xfId="100" applyFont="1" applyBorder="1" applyAlignment="1">
      <alignment horizontal="center" vertical="top" wrapText="1"/>
      <protection/>
    </xf>
    <xf numFmtId="0" fontId="12" fillId="0" borderId="29" xfId="100" applyFont="1" applyBorder="1" applyAlignment="1">
      <alignment horizontal="center" vertical="top" wrapText="1"/>
      <protection/>
    </xf>
    <xf numFmtId="0" fontId="12" fillId="0" borderId="17" xfId="100" applyFont="1" applyBorder="1" applyAlignment="1">
      <alignment horizontal="center" vertical="top" wrapText="1"/>
      <protection/>
    </xf>
    <xf numFmtId="0" fontId="12" fillId="0" borderId="16" xfId="100" applyFont="1" applyBorder="1" applyAlignment="1">
      <alignment horizontal="center" vertical="top" wrapText="1"/>
      <protection/>
    </xf>
    <xf numFmtId="0" fontId="12" fillId="0" borderId="27" xfId="100" applyFont="1" applyBorder="1" applyAlignment="1">
      <alignment horizontal="center" vertical="top" wrapText="1"/>
      <protection/>
    </xf>
    <xf numFmtId="0" fontId="14" fillId="0" borderId="10" xfId="100" applyFont="1" applyBorder="1" applyAlignment="1">
      <alignment horizontal="center" vertical="center" wrapText="1"/>
      <protection/>
    </xf>
    <xf numFmtId="0" fontId="14" fillId="0" borderId="19" xfId="100" applyFont="1" applyBorder="1" applyAlignment="1">
      <alignment horizontal="center" vertical="center" wrapText="1"/>
      <protection/>
    </xf>
    <xf numFmtId="0" fontId="14" fillId="0" borderId="12" xfId="100" applyFont="1" applyBorder="1" applyAlignment="1">
      <alignment horizontal="center" vertical="center" wrapText="1"/>
      <protection/>
    </xf>
    <xf numFmtId="0" fontId="14" fillId="0" borderId="11" xfId="100" applyFont="1" applyBorder="1" applyAlignment="1">
      <alignment horizontal="center" vertical="top" wrapText="1"/>
      <protection/>
    </xf>
    <xf numFmtId="0" fontId="14" fillId="0" borderId="11" xfId="100" applyFont="1" applyBorder="1" applyAlignment="1">
      <alignment horizontal="center" vertical="center" wrapText="1"/>
      <protection/>
    </xf>
    <xf numFmtId="0" fontId="14" fillId="0" borderId="21" xfId="100" applyFont="1" applyBorder="1" applyAlignment="1">
      <alignment horizontal="center" vertical="top" wrapText="1"/>
      <protection/>
    </xf>
    <xf numFmtId="0" fontId="14" fillId="0" borderId="28" xfId="100" applyFont="1" applyBorder="1" applyAlignment="1">
      <alignment horizontal="center" vertical="top" wrapText="1"/>
      <protection/>
    </xf>
    <xf numFmtId="0" fontId="14" fillId="0" borderId="29" xfId="100" applyFont="1" applyBorder="1" applyAlignment="1">
      <alignment horizontal="center" vertical="top" wrapText="1"/>
      <protection/>
    </xf>
    <xf numFmtId="0" fontId="14" fillId="0" borderId="17" xfId="100" applyFont="1" applyBorder="1" applyAlignment="1">
      <alignment horizontal="center" vertical="top" wrapText="1"/>
      <protection/>
    </xf>
    <xf numFmtId="0" fontId="14" fillId="0" borderId="16" xfId="100" applyFont="1" applyBorder="1" applyAlignment="1">
      <alignment horizontal="center" vertical="top" wrapText="1"/>
      <protection/>
    </xf>
    <xf numFmtId="0" fontId="14" fillId="0" borderId="27" xfId="100" applyFont="1" applyBorder="1" applyAlignment="1">
      <alignment horizontal="center" vertical="top" wrapText="1"/>
      <protection/>
    </xf>
    <xf numFmtId="0" fontId="14" fillId="0" borderId="21" xfId="100" applyFont="1" applyBorder="1" applyAlignment="1">
      <alignment horizontal="center" vertical="center" wrapText="1"/>
      <protection/>
    </xf>
    <xf numFmtId="0" fontId="14" fillId="0" borderId="28" xfId="100" applyFont="1" applyBorder="1" applyAlignment="1">
      <alignment horizontal="center" vertical="center" wrapText="1"/>
      <protection/>
    </xf>
    <xf numFmtId="0" fontId="14" fillId="0" borderId="29" xfId="100" applyFont="1" applyBorder="1" applyAlignment="1">
      <alignment horizontal="center" vertical="center" wrapText="1"/>
      <protection/>
    </xf>
    <xf numFmtId="0" fontId="14" fillId="0" borderId="17" xfId="100" applyFont="1" applyBorder="1" applyAlignment="1">
      <alignment horizontal="center" vertical="center" wrapText="1"/>
      <protection/>
    </xf>
    <xf numFmtId="0" fontId="14" fillId="0" borderId="16" xfId="100" applyFont="1" applyBorder="1" applyAlignment="1">
      <alignment horizontal="center" vertical="center" wrapText="1"/>
      <protection/>
    </xf>
    <xf numFmtId="0" fontId="14" fillId="0" borderId="27" xfId="100" applyFont="1" applyBorder="1" applyAlignment="1">
      <alignment horizontal="center" vertical="center" wrapText="1"/>
      <protection/>
    </xf>
    <xf numFmtId="0" fontId="10" fillId="0" borderId="0" xfId="92" applyFont="1" applyAlignment="1">
      <alignment horizontal="center"/>
      <protection/>
    </xf>
    <xf numFmtId="0" fontId="5" fillId="0" borderId="0" xfId="92" applyFont="1" applyAlignment="1">
      <alignment horizontal="center"/>
      <protection/>
    </xf>
    <xf numFmtId="0" fontId="25" fillId="0" borderId="0" xfId="92" applyFont="1" applyAlignment="1">
      <alignment horizontal="center"/>
      <protection/>
    </xf>
    <xf numFmtId="0" fontId="30" fillId="0" borderId="0" xfId="92" applyFont="1" applyAlignment="1">
      <alignment horizontal="center"/>
      <protection/>
    </xf>
    <xf numFmtId="0" fontId="2" fillId="0" borderId="0" xfId="100" applyFont="1" applyAlignment="1">
      <alignment horizontal="left"/>
      <protection/>
    </xf>
    <xf numFmtId="0" fontId="16" fillId="0" borderId="16" xfId="100" applyFont="1" applyBorder="1" applyAlignment="1">
      <alignment horizontal="center"/>
      <protection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16" fillId="0" borderId="16" xfId="0" applyFont="1" applyBorder="1" applyAlignment="1">
      <alignment horizontal="right"/>
    </xf>
    <xf numFmtId="0" fontId="14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6" xfId="0" applyFont="1" applyBorder="1" applyAlignment="1">
      <alignment horizontal="left" vertical="center"/>
    </xf>
    <xf numFmtId="0" fontId="2" fillId="33" borderId="0" xfId="0" applyFont="1" applyFill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16" fillId="0" borderId="16" xfId="0" applyFont="1" applyBorder="1" applyAlignment="1">
      <alignment horizontal="right" vertical="center"/>
    </xf>
    <xf numFmtId="0" fontId="2" fillId="0" borderId="0" xfId="75" applyFont="1" applyAlignment="1">
      <alignment horizontal="center" vertical="top" wrapText="1"/>
      <protection/>
    </xf>
    <xf numFmtId="0" fontId="39" fillId="0" borderId="28" xfId="0" applyFont="1" applyBorder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16" fillId="0" borderId="16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70" applyFont="1" applyAlignment="1">
      <alignment horizontal="center"/>
      <protection/>
    </xf>
    <xf numFmtId="0" fontId="10" fillId="0" borderId="0" xfId="70" applyFont="1" applyAlignment="1">
      <alignment horizontal="center"/>
      <protection/>
    </xf>
    <xf numFmtId="0" fontId="2" fillId="0" borderId="11" xfId="70" applyFont="1" applyBorder="1" applyAlignment="1">
      <alignment horizontal="center" vertical="top" wrapText="1"/>
      <protection/>
    </xf>
    <xf numFmtId="0" fontId="2" fillId="33" borderId="10" xfId="70" applyFont="1" applyFill="1" applyBorder="1" applyAlignment="1">
      <alignment horizontal="center" vertical="top" wrapText="1"/>
      <protection/>
    </xf>
    <xf numFmtId="0" fontId="2" fillId="33" borderId="19" xfId="70" applyFont="1" applyFill="1" applyBorder="1" applyAlignment="1">
      <alignment horizontal="center" vertical="top" wrapText="1"/>
      <protection/>
    </xf>
    <xf numFmtId="0" fontId="2" fillId="33" borderId="12" xfId="70" applyFont="1" applyFill="1" applyBorder="1" applyAlignment="1">
      <alignment horizontal="center" vertical="top" wrapText="1"/>
      <protection/>
    </xf>
    <xf numFmtId="0" fontId="7" fillId="0" borderId="0" xfId="70" applyFont="1" applyBorder="1" applyAlignment="1">
      <alignment horizontal="left"/>
      <protection/>
    </xf>
    <xf numFmtId="0" fontId="5" fillId="0" borderId="0" xfId="70" applyFont="1" applyAlignment="1">
      <alignment horizontal="left"/>
      <protection/>
    </xf>
    <xf numFmtId="0" fontId="2" fillId="0" borderId="10" xfId="70" applyFont="1" applyBorder="1" applyAlignment="1">
      <alignment horizontal="center" vertical="top" wrapText="1"/>
      <protection/>
    </xf>
    <xf numFmtId="0" fontId="2" fillId="0" borderId="19" xfId="70" applyFont="1" applyBorder="1" applyAlignment="1">
      <alignment horizontal="center" vertical="top" wrapText="1"/>
      <protection/>
    </xf>
    <xf numFmtId="0" fontId="2" fillId="0" borderId="12" xfId="70" applyFont="1" applyBorder="1" applyAlignment="1">
      <alignment horizontal="center" vertical="top" wrapText="1"/>
      <protection/>
    </xf>
    <xf numFmtId="0" fontId="2" fillId="0" borderId="11" xfId="70" applyFont="1" applyBorder="1" applyAlignment="1">
      <alignment horizontal="center" vertical="center" wrapText="1"/>
      <protection/>
    </xf>
    <xf numFmtId="0" fontId="2" fillId="0" borderId="29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135" fillId="0" borderId="11" xfId="0" applyFont="1" applyBorder="1" applyAlignment="1">
      <alignment horizontal="center" vertical="top" wrapText="1"/>
    </xf>
    <xf numFmtId="0" fontId="135" fillId="0" borderId="10" xfId="0" applyFont="1" applyBorder="1" applyAlignment="1">
      <alignment horizontal="center" vertical="top" wrapText="1"/>
    </xf>
    <xf numFmtId="0" fontId="135" fillId="0" borderId="19" xfId="0" applyFont="1" applyBorder="1" applyAlignment="1">
      <alignment horizontal="center" vertical="top" wrapText="1"/>
    </xf>
    <xf numFmtId="0" fontId="135" fillId="0" borderId="12" xfId="0" applyFont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155" fillId="0" borderId="0" xfId="0" applyFont="1" applyBorder="1" applyAlignment="1">
      <alignment horizontal="center" vertical="top"/>
    </xf>
    <xf numFmtId="0" fontId="16" fillId="0" borderId="16" xfId="0" applyFont="1" applyBorder="1" applyAlignment="1">
      <alignment horizontal="left"/>
    </xf>
    <xf numFmtId="0" fontId="2" fillId="0" borderId="0" xfId="79" applyFont="1" applyAlignment="1">
      <alignment horizontal="center" vertical="top" wrapText="1"/>
      <protection/>
    </xf>
    <xf numFmtId="0" fontId="34" fillId="0" borderId="11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6" fillId="0" borderId="0" xfId="79" applyFont="1" applyAlignment="1">
      <alignment horizontal="center"/>
      <protection/>
    </xf>
    <xf numFmtId="0" fontId="10" fillId="0" borderId="0" xfId="79" applyFont="1" applyAlignment="1">
      <alignment horizontal="center"/>
      <protection/>
    </xf>
    <xf numFmtId="0" fontId="5" fillId="0" borderId="0" xfId="79" applyFont="1" applyAlignment="1">
      <alignment horizontal="center"/>
      <protection/>
    </xf>
    <xf numFmtId="0" fontId="2" fillId="33" borderId="10" xfId="70" applyFont="1" applyFill="1" applyBorder="1" applyAlignment="1" quotePrefix="1">
      <alignment horizontal="center" vertical="center" wrapText="1"/>
      <protection/>
    </xf>
    <xf numFmtId="0" fontId="2" fillId="33" borderId="12" xfId="70" applyFont="1" applyFill="1" applyBorder="1" applyAlignment="1" quotePrefix="1">
      <alignment horizontal="center" vertical="center" wrapText="1"/>
      <protection/>
    </xf>
    <xf numFmtId="0" fontId="2" fillId="33" borderId="14" xfId="70" applyFont="1" applyFill="1" applyBorder="1" applyAlignment="1" quotePrefix="1">
      <alignment horizontal="center" vertical="center" wrapText="1"/>
      <protection/>
    </xf>
    <xf numFmtId="0" fontId="2" fillId="33" borderId="18" xfId="70" applyFont="1" applyFill="1" applyBorder="1" applyAlignment="1" quotePrefix="1">
      <alignment horizontal="center" vertical="center" wrapText="1"/>
      <protection/>
    </xf>
    <xf numFmtId="0" fontId="2" fillId="33" borderId="15" xfId="70" applyFont="1" applyFill="1" applyBorder="1" applyAlignment="1" quotePrefix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2" fillId="0" borderId="14" xfId="70" applyFont="1" applyBorder="1" applyAlignment="1">
      <alignment horizontal="left" vertical="center"/>
      <protection/>
    </xf>
    <xf numFmtId="0" fontId="2" fillId="0" borderId="18" xfId="70" applyFont="1" applyBorder="1" applyAlignment="1">
      <alignment horizontal="left" vertical="center"/>
      <protection/>
    </xf>
    <xf numFmtId="0" fontId="2" fillId="0" borderId="15" xfId="70" applyFont="1" applyBorder="1" applyAlignment="1">
      <alignment horizontal="left" vertical="center"/>
      <protection/>
    </xf>
    <xf numFmtId="0" fontId="2" fillId="0" borderId="0" xfId="74" applyFont="1" applyAlignment="1">
      <alignment horizontal="center" vertical="top" wrapText="1"/>
      <protection/>
    </xf>
    <xf numFmtId="0" fontId="2" fillId="0" borderId="0" xfId="74" applyFont="1" applyAlignment="1">
      <alignment horizontal="left"/>
      <protection/>
    </xf>
    <xf numFmtId="0" fontId="31" fillId="0" borderId="0" xfId="72" applyFont="1" applyAlignment="1">
      <alignment horizontal="center"/>
      <protection/>
    </xf>
    <xf numFmtId="0" fontId="32" fillId="0" borderId="0" xfId="72" applyFont="1" applyAlignment="1">
      <alignment horizontal="center"/>
      <protection/>
    </xf>
    <xf numFmtId="0" fontId="31" fillId="0" borderId="0" xfId="72" applyFont="1" applyAlignment="1">
      <alignment horizontal="center" wrapText="1"/>
      <protection/>
    </xf>
    <xf numFmtId="0" fontId="16" fillId="0" borderId="16" xfId="72" applyFont="1" applyBorder="1" applyAlignment="1">
      <alignment horizontal="right"/>
      <protection/>
    </xf>
    <xf numFmtId="0" fontId="124" fillId="0" borderId="0" xfId="72" applyFont="1" applyAlignment="1">
      <alignment horizontal="center"/>
      <protection/>
    </xf>
    <xf numFmtId="0" fontId="2" fillId="0" borderId="0" xfId="77" applyFont="1" applyAlignment="1">
      <alignment horizontal="center" vertical="top" wrapText="1"/>
      <protection/>
    </xf>
    <xf numFmtId="0" fontId="2" fillId="0" borderId="0" xfId="77" applyFont="1" applyAlignment="1">
      <alignment horizontal="left" vertical="top" wrapText="1"/>
      <protection/>
    </xf>
    <xf numFmtId="0" fontId="2" fillId="0" borderId="0" xfId="77" applyFont="1" applyAlignment="1">
      <alignment horizontal="left"/>
      <protection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79" applyFont="1" applyAlignment="1">
      <alignment horizontal="center"/>
      <protection/>
    </xf>
    <xf numFmtId="0" fontId="16" fillId="33" borderId="16" xfId="0" applyFont="1" applyFill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122" fillId="0" borderId="11" xfId="0" applyFont="1" applyBorder="1" applyAlignment="1">
      <alignment horizontal="center" vertical="top" wrapText="1"/>
    </xf>
    <xf numFmtId="0" fontId="122" fillId="33" borderId="14" xfId="0" applyFont="1" applyFill="1" applyBorder="1" applyAlignment="1">
      <alignment horizontal="center" vertical="top" wrapText="1"/>
    </xf>
    <xf numFmtId="0" fontId="122" fillId="33" borderId="18" xfId="0" applyFont="1" applyFill="1" applyBorder="1" applyAlignment="1">
      <alignment horizontal="center" vertical="top" wrapText="1"/>
    </xf>
    <xf numFmtId="0" fontId="122" fillId="33" borderId="15" xfId="0" applyFont="1" applyFill="1" applyBorder="1" applyAlignment="1">
      <alignment horizontal="center" vertical="top" wrapText="1"/>
    </xf>
    <xf numFmtId="0" fontId="34" fillId="0" borderId="10" xfId="72" applyFont="1" applyBorder="1" applyAlignment="1">
      <alignment horizontal="center" vertical="top" wrapText="1"/>
      <protection/>
    </xf>
    <xf numFmtId="0" fontId="34" fillId="0" borderId="12" xfId="72" applyFont="1" applyBorder="1" applyAlignment="1">
      <alignment horizontal="center" vertical="top" wrapText="1"/>
      <protection/>
    </xf>
    <xf numFmtId="0" fontId="2" fillId="0" borderId="11" xfId="72" applyFont="1" applyBorder="1" applyAlignment="1">
      <alignment horizontal="center" vertical="top" wrapText="1"/>
      <protection/>
    </xf>
    <xf numFmtId="0" fontId="2" fillId="0" borderId="18" xfId="72" applyFont="1" applyBorder="1" applyAlignment="1">
      <alignment horizontal="center" vertical="top" wrapText="1"/>
      <protection/>
    </xf>
    <xf numFmtId="0" fontId="2" fillId="0" borderId="15" xfId="72" applyFont="1" applyBorder="1" applyAlignment="1">
      <alignment horizontal="center" vertical="top" wrapText="1"/>
      <protection/>
    </xf>
    <xf numFmtId="0" fontId="2" fillId="33" borderId="11" xfId="72" applyFont="1" applyFill="1" applyBorder="1" applyAlignment="1">
      <alignment horizontal="center" vertical="top" wrapText="1"/>
      <protection/>
    </xf>
    <xf numFmtId="0" fontId="34" fillId="0" borderId="11" xfId="72" applyFont="1" applyBorder="1" applyAlignment="1">
      <alignment horizontal="center" vertical="top" wrapText="1"/>
      <protection/>
    </xf>
    <xf numFmtId="0" fontId="85" fillId="0" borderId="10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2" fillId="0" borderId="0" xfId="80" applyFont="1" applyAlignment="1">
      <alignment horizontal="center" vertical="top" wrapText="1"/>
      <protection/>
    </xf>
    <xf numFmtId="0" fontId="0" fillId="0" borderId="28" xfId="72" applyBorder="1" applyAlignment="1">
      <alignment horizontal="left" vertical="center"/>
      <protection/>
    </xf>
    <xf numFmtId="0" fontId="47" fillId="0" borderId="16" xfId="72" applyFont="1" applyBorder="1" applyAlignment="1">
      <alignment horizontal="right"/>
      <protection/>
    </xf>
    <xf numFmtId="0" fontId="6" fillId="0" borderId="0" xfId="92" applyFont="1" applyAlignment="1">
      <alignment horizontal="left"/>
      <protection/>
    </xf>
    <xf numFmtId="0" fontId="6" fillId="0" borderId="14" xfId="72" applyFont="1" applyBorder="1" applyAlignment="1">
      <alignment horizontal="center" vertical="center" wrapText="1"/>
      <protection/>
    </xf>
    <xf numFmtId="0" fontId="6" fillId="0" borderId="15" xfId="72" applyFont="1" applyBorder="1" applyAlignment="1">
      <alignment horizontal="center" vertical="center" wrapText="1"/>
      <protection/>
    </xf>
    <xf numFmtId="0" fontId="6" fillId="0" borderId="14" xfId="92" applyFont="1" applyBorder="1" applyAlignment="1">
      <alignment horizontal="center" vertical="center" wrapText="1"/>
      <protection/>
    </xf>
    <xf numFmtId="0" fontId="6" fillId="0" borderId="15" xfId="92" applyFont="1" applyBorder="1" applyAlignment="1">
      <alignment horizontal="center" vertical="center" wrapText="1"/>
      <protection/>
    </xf>
    <xf numFmtId="0" fontId="6" fillId="0" borderId="10" xfId="92" applyFont="1" applyBorder="1" applyAlignment="1">
      <alignment horizontal="center" vertical="top" wrapText="1"/>
      <protection/>
    </xf>
    <xf numFmtId="0" fontId="6" fillId="0" borderId="12" xfId="92" applyFont="1" applyBorder="1" applyAlignment="1">
      <alignment horizontal="center" vertical="top" wrapText="1"/>
      <protection/>
    </xf>
    <xf numFmtId="0" fontId="6" fillId="0" borderId="10" xfId="72" applyFont="1" applyBorder="1" applyAlignment="1">
      <alignment horizontal="center" vertical="top" wrapText="1"/>
      <protection/>
    </xf>
    <xf numFmtId="0" fontId="6" fillId="0" borderId="12" xfId="72" applyFont="1" applyBorder="1" applyAlignment="1">
      <alignment horizontal="center" vertical="top" wrapText="1"/>
      <protection/>
    </xf>
    <xf numFmtId="0" fontId="0" fillId="0" borderId="0" xfId="92" applyAlignment="1">
      <alignment horizontal="center"/>
      <protection/>
    </xf>
    <xf numFmtId="0" fontId="6" fillId="0" borderId="0" xfId="92" applyFont="1" applyAlignment="1">
      <alignment horizontal="center"/>
      <protection/>
    </xf>
    <xf numFmtId="0" fontId="7" fillId="0" borderId="0" xfId="92" applyFont="1" applyAlignment="1">
      <alignment horizontal="center"/>
      <protection/>
    </xf>
    <xf numFmtId="0" fontId="2" fillId="0" borderId="14" xfId="92" applyFont="1" applyBorder="1" applyAlignment="1">
      <alignment horizontal="center" vertical="top"/>
      <protection/>
    </xf>
    <xf numFmtId="0" fontId="2" fillId="0" borderId="18" xfId="92" applyFont="1" applyBorder="1" applyAlignment="1">
      <alignment horizontal="center" vertical="top"/>
      <protection/>
    </xf>
    <xf numFmtId="0" fontId="2" fillId="0" borderId="11" xfId="92" applyFont="1" applyBorder="1" applyAlignment="1">
      <alignment horizontal="center" vertical="top"/>
      <protection/>
    </xf>
    <xf numFmtId="0" fontId="2" fillId="0" borderId="11" xfId="92" applyFont="1" applyBorder="1" applyAlignment="1">
      <alignment horizontal="center" vertical="top" wrapText="1"/>
      <protection/>
    </xf>
    <xf numFmtId="0" fontId="0" fillId="0" borderId="0" xfId="0" applyAlignment="1">
      <alignment horizontal="left"/>
    </xf>
    <xf numFmtId="0" fontId="0" fillId="0" borderId="0" xfId="92" applyAlignment="1">
      <alignment horizontal="left"/>
      <protection/>
    </xf>
    <xf numFmtId="0" fontId="2" fillId="0" borderId="10" xfId="92" applyFont="1" applyBorder="1" applyAlignment="1">
      <alignment horizontal="center" vertical="top" wrapText="1"/>
      <protection/>
    </xf>
    <xf numFmtId="0" fontId="2" fillId="0" borderId="12" xfId="92" applyFont="1" applyBorder="1" applyAlignment="1">
      <alignment horizontal="center" vertical="top" wrapText="1"/>
      <protection/>
    </xf>
    <xf numFmtId="0" fontId="6" fillId="0" borderId="14" xfId="92" applyFont="1" applyBorder="1" applyAlignment="1">
      <alignment horizontal="center" vertical="top"/>
      <protection/>
    </xf>
    <xf numFmtId="0" fontId="6" fillId="0" borderId="18" xfId="92" applyFont="1" applyBorder="1" applyAlignment="1">
      <alignment horizontal="center" vertical="top"/>
      <protection/>
    </xf>
    <xf numFmtId="0" fontId="6" fillId="0" borderId="30" xfId="92" applyFont="1" applyBorder="1" applyAlignment="1">
      <alignment horizontal="center" vertical="top"/>
      <protection/>
    </xf>
    <xf numFmtId="0" fontId="4" fillId="0" borderId="0" xfId="92" applyFont="1" applyAlignment="1">
      <alignment horizontal="center"/>
      <protection/>
    </xf>
    <xf numFmtId="0" fontId="6" fillId="0" borderId="0" xfId="92" applyFont="1" applyAlignment="1">
      <alignment horizontal="right" vertical="top" wrapText="1"/>
      <protection/>
    </xf>
    <xf numFmtId="0" fontId="2" fillId="0" borderId="18" xfId="92" applyFont="1" applyBorder="1" applyAlignment="1">
      <alignment horizontal="center" vertical="top" wrapText="1"/>
      <protection/>
    </xf>
    <xf numFmtId="0" fontId="2" fillId="0" borderId="15" xfId="92" applyFont="1" applyBorder="1" applyAlignment="1">
      <alignment horizontal="center" vertical="top" wrapText="1"/>
      <protection/>
    </xf>
    <xf numFmtId="0" fontId="2" fillId="0" borderId="14" xfId="92" applyFont="1" applyBorder="1" applyAlignment="1">
      <alignment horizontal="center" vertical="top" wrapText="1"/>
      <protection/>
    </xf>
    <xf numFmtId="0" fontId="2" fillId="0" borderId="0" xfId="79" applyFont="1" applyAlignment="1">
      <alignment horizontal="left"/>
      <protection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2" fillId="0" borderId="0" xfId="84" applyFont="1" applyAlignment="1">
      <alignment horizontal="center" vertical="top" wrapText="1"/>
      <protection/>
    </xf>
    <xf numFmtId="0" fontId="2" fillId="0" borderId="0" xfId="84" applyFont="1" applyAlignment="1">
      <alignment horizontal="center"/>
      <protection/>
    </xf>
    <xf numFmtId="0" fontId="14" fillId="0" borderId="0" xfId="84" applyFont="1" applyAlignment="1">
      <alignment horizontal="center"/>
      <protection/>
    </xf>
    <xf numFmtId="0" fontId="16" fillId="0" borderId="16" xfId="72" applyFont="1" applyBorder="1" applyAlignment="1">
      <alignment horizontal="center"/>
      <protection/>
    </xf>
    <xf numFmtId="0" fontId="34" fillId="0" borderId="19" xfId="72" applyFont="1" applyBorder="1" applyAlignment="1">
      <alignment horizontal="center" vertical="top" wrapText="1"/>
      <protection/>
    </xf>
    <xf numFmtId="0" fontId="2" fillId="33" borderId="10" xfId="84" applyFont="1" applyFill="1" applyBorder="1" applyAlignment="1" quotePrefix="1">
      <alignment horizontal="center" vertical="center" wrapText="1"/>
      <protection/>
    </xf>
    <xf numFmtId="0" fontId="2" fillId="33" borderId="12" xfId="84" applyFont="1" applyFill="1" applyBorder="1" applyAlignment="1" quotePrefix="1">
      <alignment horizontal="center" vertical="center" wrapText="1"/>
      <protection/>
    </xf>
    <xf numFmtId="0" fontId="2" fillId="33" borderId="11" xfId="84" applyFont="1" applyFill="1" applyBorder="1" applyAlignment="1" quotePrefix="1">
      <alignment horizontal="center" vertical="center" wrapText="1"/>
      <protection/>
    </xf>
    <xf numFmtId="0" fontId="2" fillId="0" borderId="0" xfId="83" applyFont="1" applyAlignment="1">
      <alignment horizontal="center" vertical="top" wrapText="1"/>
      <protection/>
    </xf>
    <xf numFmtId="0" fontId="2" fillId="0" borderId="0" xfId="83" applyFont="1" applyAlignment="1">
      <alignment horizontal="center"/>
      <protection/>
    </xf>
    <xf numFmtId="0" fontId="14" fillId="0" borderId="0" xfId="83" applyFont="1" applyBorder="1" applyAlignment="1">
      <alignment horizontal="center"/>
      <protection/>
    </xf>
    <xf numFmtId="0" fontId="2" fillId="33" borderId="11" xfId="83" applyFont="1" applyFill="1" applyBorder="1" applyAlignment="1" quotePrefix="1">
      <alignment horizontal="center" vertical="top" wrapText="1"/>
      <protection/>
    </xf>
    <xf numFmtId="0" fontId="16" fillId="0" borderId="0" xfId="72" applyFont="1" applyBorder="1" applyAlignment="1">
      <alignment horizontal="center"/>
      <protection/>
    </xf>
    <xf numFmtId="0" fontId="2" fillId="0" borderId="11" xfId="83" applyFont="1" applyBorder="1" applyAlignment="1">
      <alignment horizontal="left"/>
      <protection/>
    </xf>
    <xf numFmtId="0" fontId="2" fillId="33" borderId="14" xfId="83" applyFont="1" applyFill="1" applyBorder="1" applyAlignment="1" quotePrefix="1">
      <alignment horizontal="center" vertical="center" wrapText="1"/>
      <protection/>
    </xf>
    <xf numFmtId="0" fontId="2" fillId="33" borderId="18" xfId="83" applyFont="1" applyFill="1" applyBorder="1" applyAlignment="1" quotePrefix="1">
      <alignment horizontal="center" vertical="center" wrapText="1"/>
      <protection/>
    </xf>
    <xf numFmtId="0" fontId="2" fillId="33" borderId="15" xfId="83" applyFont="1" applyFill="1" applyBorder="1" applyAlignment="1" quotePrefix="1">
      <alignment horizontal="center" vertical="center" wrapText="1"/>
      <protection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" fillId="33" borderId="11" xfId="98" applyFont="1" applyFill="1" applyBorder="1" applyAlignment="1">
      <alignment horizontal="center" vertical="center"/>
      <protection/>
    </xf>
    <xf numFmtId="0" fontId="135" fillId="0" borderId="21" xfId="0" applyFont="1" applyBorder="1" applyAlignment="1">
      <alignment horizontal="center" vertical="top" wrapText="1"/>
    </xf>
    <xf numFmtId="0" fontId="135" fillId="0" borderId="28" xfId="0" applyFont="1" applyBorder="1" applyAlignment="1">
      <alignment horizontal="center" vertical="top" wrapText="1"/>
    </xf>
    <xf numFmtId="0" fontId="135" fillId="0" borderId="29" xfId="0" applyFont="1" applyBorder="1" applyAlignment="1">
      <alignment horizontal="center" vertical="top" wrapText="1"/>
    </xf>
    <xf numFmtId="0" fontId="135" fillId="0" borderId="20" xfId="0" applyFont="1" applyBorder="1" applyAlignment="1">
      <alignment horizontal="center" vertical="top" wrapText="1"/>
    </xf>
    <xf numFmtId="0" fontId="135" fillId="0" borderId="0" xfId="0" applyFont="1" applyBorder="1" applyAlignment="1">
      <alignment horizontal="center" vertical="top" wrapText="1"/>
    </xf>
    <xf numFmtId="0" fontId="135" fillId="0" borderId="31" xfId="0" applyFont="1" applyBorder="1" applyAlignment="1">
      <alignment horizontal="center" vertical="top" wrapText="1"/>
    </xf>
    <xf numFmtId="0" fontId="157" fillId="0" borderId="0" xfId="0" applyFont="1" applyBorder="1" applyAlignment="1">
      <alignment horizontal="left" vertical="center" wrapText="1"/>
    </xf>
    <xf numFmtId="0" fontId="132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left"/>
    </xf>
    <xf numFmtId="0" fontId="2" fillId="0" borderId="0" xfId="86" applyFont="1" applyAlignment="1">
      <alignment horizontal="center" vertical="top" wrapText="1"/>
      <protection/>
    </xf>
    <xf numFmtId="0" fontId="155" fillId="0" borderId="0" xfId="72" applyFont="1" applyAlignment="1">
      <alignment horizontal="center" vertical="center"/>
      <protection/>
    </xf>
    <xf numFmtId="0" fontId="155" fillId="0" borderId="0" xfId="72" applyFont="1" applyBorder="1" applyAlignment="1">
      <alignment horizontal="center" vertical="center"/>
      <protection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right"/>
    </xf>
    <xf numFmtId="0" fontId="0" fillId="34" borderId="0" xfId="0" applyFont="1" applyFill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 quotePrefix="1">
      <alignment horizontal="center"/>
    </xf>
    <xf numFmtId="0" fontId="10" fillId="33" borderId="0" xfId="0" applyFont="1" applyFill="1" applyAlignment="1">
      <alignment horizontal="center"/>
    </xf>
    <xf numFmtId="0" fontId="2" fillId="33" borderId="28" xfId="0" applyFont="1" applyFill="1" applyBorder="1" applyAlignment="1">
      <alignment horizontal="center" vertical="top" wrapText="1"/>
    </xf>
    <xf numFmtId="0" fontId="2" fillId="33" borderId="29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wrapText="1"/>
    </xf>
    <xf numFmtId="0" fontId="28" fillId="0" borderId="0" xfId="70" applyFont="1" applyAlignment="1">
      <alignment horizontal="center"/>
      <protection/>
    </xf>
    <xf numFmtId="0" fontId="21" fillId="0" borderId="10" xfId="70" applyFont="1" applyBorder="1" applyAlignment="1">
      <alignment horizontal="center" vertical="top" wrapText="1"/>
      <protection/>
    </xf>
    <xf numFmtId="0" fontId="21" fillId="0" borderId="12" xfId="70" applyFont="1" applyBorder="1" applyAlignment="1">
      <alignment horizontal="center" vertical="top" wrapText="1"/>
      <protection/>
    </xf>
    <xf numFmtId="0" fontId="21" fillId="0" borderId="14" xfId="70" applyFont="1" applyBorder="1" applyAlignment="1">
      <alignment horizontal="center" vertical="top" wrapText="1"/>
      <protection/>
    </xf>
    <xf numFmtId="0" fontId="21" fillId="0" borderId="18" xfId="70" applyFont="1" applyBorder="1" applyAlignment="1">
      <alignment horizontal="center" vertical="top" wrapText="1"/>
      <protection/>
    </xf>
    <xf numFmtId="0" fontId="21" fillId="0" borderId="29" xfId="70" applyFont="1" applyBorder="1" applyAlignment="1">
      <alignment horizontal="center" vertical="top" wrapText="1"/>
      <protection/>
    </xf>
    <xf numFmtId="0" fontId="21" fillId="0" borderId="11" xfId="70" applyFont="1" applyBorder="1" applyAlignment="1">
      <alignment horizontal="center" vertical="top" wrapText="1"/>
      <protection/>
    </xf>
    <xf numFmtId="0" fontId="21" fillId="0" borderId="15" xfId="70" applyFont="1" applyBorder="1" applyAlignment="1">
      <alignment horizontal="center" vertical="top" wrapText="1"/>
      <protection/>
    </xf>
    <xf numFmtId="0" fontId="17" fillId="0" borderId="11" xfId="70" applyFont="1" applyBorder="1" applyAlignment="1">
      <alignment horizontal="center" vertical="top" wrapText="1"/>
      <protection/>
    </xf>
    <xf numFmtId="0" fontId="6" fillId="0" borderId="11" xfId="0" applyFont="1" applyBorder="1" applyAlignment="1">
      <alignment horizontal="center" vertical="top" wrapText="1"/>
    </xf>
    <xf numFmtId="0" fontId="20" fillId="0" borderId="11" xfId="90" applyFont="1" applyBorder="1" applyAlignment="1">
      <alignment horizontal="center" vertical="top" wrapText="1"/>
      <protection/>
    </xf>
    <xf numFmtId="0" fontId="20" fillId="0" borderId="10" xfId="90" applyFont="1" applyBorder="1" applyAlignment="1">
      <alignment horizontal="center" vertical="top" wrapText="1"/>
      <protection/>
    </xf>
    <xf numFmtId="0" fontId="20" fillId="0" borderId="12" xfId="90" applyFont="1" applyBorder="1" applyAlignment="1">
      <alignment horizontal="center" vertical="top" wrapText="1"/>
      <protection/>
    </xf>
    <xf numFmtId="0" fontId="51" fillId="0" borderId="0" xfId="90" applyFont="1" applyAlignment="1">
      <alignment horizontal="center"/>
      <protection/>
    </xf>
    <xf numFmtId="0" fontId="21" fillId="0" borderId="11" xfId="91" applyFont="1" applyBorder="1" applyAlignment="1">
      <alignment horizontal="center" vertical="top" wrapText="1"/>
      <protection/>
    </xf>
    <xf numFmtId="0" fontId="21" fillId="0" borderId="14" xfId="91" applyFont="1" applyBorder="1" applyAlignment="1">
      <alignment horizontal="center" vertical="top" wrapText="1"/>
      <protection/>
    </xf>
    <xf numFmtId="0" fontId="21" fillId="0" borderId="18" xfId="91" applyFont="1" applyBorder="1" applyAlignment="1">
      <alignment horizontal="center" vertical="top" wrapText="1"/>
      <protection/>
    </xf>
    <xf numFmtId="0" fontId="17" fillId="0" borderId="14" xfId="91" applyFont="1" applyBorder="1" applyAlignment="1">
      <alignment horizontal="center" vertical="top" wrapText="1"/>
      <protection/>
    </xf>
    <xf numFmtId="0" fontId="17" fillId="0" borderId="18" xfId="91" applyFont="1" applyBorder="1" applyAlignment="1">
      <alignment horizontal="center" vertical="top" wrapText="1"/>
      <protection/>
    </xf>
    <xf numFmtId="0" fontId="19" fillId="0" borderId="10" xfId="91" applyFont="1" applyBorder="1" applyAlignment="1">
      <alignment horizontal="center" vertical="top" wrapText="1"/>
      <protection/>
    </xf>
    <xf numFmtId="0" fontId="19" fillId="0" borderId="12" xfId="91" applyFont="1" applyBorder="1" applyAlignment="1">
      <alignment horizontal="center" vertical="top" wrapText="1"/>
      <protection/>
    </xf>
    <xf numFmtId="0" fontId="19" fillId="0" borderId="14" xfId="91" applyFont="1" applyBorder="1" applyAlignment="1">
      <alignment horizontal="center" vertical="top" wrapText="1"/>
      <protection/>
    </xf>
    <xf numFmtId="0" fontId="19" fillId="0" borderId="18" xfId="91" applyFont="1" applyBorder="1" applyAlignment="1">
      <alignment horizontal="center" vertical="top" wrapText="1"/>
      <protection/>
    </xf>
    <xf numFmtId="0" fontId="19" fillId="0" borderId="15" xfId="91" applyFont="1" applyBorder="1" applyAlignment="1">
      <alignment horizontal="center" vertical="top" wrapText="1"/>
      <protection/>
    </xf>
    <xf numFmtId="0" fontId="19" fillId="0" borderId="14" xfId="90" applyFont="1" applyBorder="1" applyAlignment="1">
      <alignment horizontal="center" vertical="top" wrapText="1"/>
      <protection/>
    </xf>
    <xf numFmtId="0" fontId="19" fillId="0" borderId="18" xfId="90" applyFont="1" applyBorder="1" applyAlignment="1">
      <alignment horizontal="center" vertical="top" wrapText="1"/>
      <protection/>
    </xf>
    <xf numFmtId="0" fontId="19" fillId="0" borderId="15" xfId="90" applyFont="1" applyBorder="1" applyAlignment="1">
      <alignment horizontal="center" vertical="top" wrapText="1"/>
      <protection/>
    </xf>
    <xf numFmtId="0" fontId="21" fillId="0" borderId="11" xfId="90" applyFont="1" applyBorder="1" applyAlignment="1">
      <alignment horizontal="center" vertical="top" wrapText="1"/>
      <protection/>
    </xf>
    <xf numFmtId="0" fontId="21" fillId="0" borderId="14" xfId="90" applyFont="1" applyBorder="1" applyAlignment="1">
      <alignment horizontal="center" vertical="top" wrapText="1"/>
      <protection/>
    </xf>
    <xf numFmtId="0" fontId="21" fillId="0" borderId="18" xfId="90" applyFont="1" applyBorder="1" applyAlignment="1">
      <alignment horizontal="center" vertical="top" wrapText="1"/>
      <protection/>
    </xf>
    <xf numFmtId="0" fontId="17" fillId="0" borderId="14" xfId="90" applyFont="1" applyBorder="1" applyAlignment="1">
      <alignment horizontal="center" vertical="top" wrapText="1"/>
      <protection/>
    </xf>
    <xf numFmtId="0" fontId="17" fillId="0" borderId="18" xfId="90" applyFont="1" applyBorder="1" applyAlignment="1">
      <alignment horizontal="center" vertical="top" wrapText="1"/>
      <protection/>
    </xf>
    <xf numFmtId="0" fontId="19" fillId="0" borderId="10" xfId="90" applyFont="1" applyBorder="1" applyAlignment="1">
      <alignment horizontal="center" vertical="top" wrapText="1"/>
      <protection/>
    </xf>
    <xf numFmtId="0" fontId="19" fillId="0" borderId="12" xfId="90" applyFont="1" applyBorder="1" applyAlignment="1">
      <alignment horizontal="center" vertical="top" wrapText="1"/>
      <protection/>
    </xf>
    <xf numFmtId="0" fontId="11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19" fillId="0" borderId="10" xfId="70" applyFont="1" applyBorder="1" applyAlignment="1">
      <alignment horizontal="center" vertical="top"/>
      <protection/>
    </xf>
    <xf numFmtId="0" fontId="19" fillId="0" borderId="19" xfId="70" applyFont="1" applyBorder="1" applyAlignment="1">
      <alignment horizontal="center" vertical="top"/>
      <protection/>
    </xf>
    <xf numFmtId="0" fontId="19" fillId="0" borderId="12" xfId="70" applyFont="1" applyBorder="1" applyAlignment="1">
      <alignment horizontal="center" vertical="top"/>
      <protection/>
    </xf>
    <xf numFmtId="0" fontId="21" fillId="0" borderId="19" xfId="70" applyFont="1" applyBorder="1" applyAlignment="1">
      <alignment horizontal="center" vertical="top" wrapText="1"/>
      <protection/>
    </xf>
    <xf numFmtId="0" fontId="21" fillId="0" borderId="21" xfId="70" applyFont="1" applyBorder="1" applyAlignment="1">
      <alignment horizontal="center" vertical="top" wrapText="1"/>
      <protection/>
    </xf>
    <xf numFmtId="0" fontId="21" fillId="0" borderId="20" xfId="70" applyFont="1" applyBorder="1" applyAlignment="1">
      <alignment horizontal="center" vertical="top" wrapText="1"/>
      <protection/>
    </xf>
    <xf numFmtId="0" fontId="21" fillId="0" borderId="31" xfId="70" applyFont="1" applyBorder="1" applyAlignment="1">
      <alignment horizontal="center" vertical="top" wrapText="1"/>
      <protection/>
    </xf>
    <xf numFmtId="0" fontId="19" fillId="0" borderId="11" xfId="70" applyFont="1" applyBorder="1" applyAlignment="1">
      <alignment horizontal="center" wrapText="1"/>
      <protection/>
    </xf>
    <xf numFmtId="0" fontId="19" fillId="0" borderId="14" xfId="70" applyFont="1" applyBorder="1" applyAlignment="1">
      <alignment horizontal="center" wrapText="1"/>
      <protection/>
    </xf>
    <xf numFmtId="0" fontId="19" fillId="0" borderId="18" xfId="70" applyFont="1" applyBorder="1" applyAlignment="1">
      <alignment horizontal="center" wrapText="1"/>
      <protection/>
    </xf>
    <xf numFmtId="0" fontId="19" fillId="0" borderId="15" xfId="70" applyFont="1" applyBorder="1" applyAlignment="1">
      <alignment horizontal="center" wrapText="1"/>
      <protection/>
    </xf>
    <xf numFmtId="0" fontId="22" fillId="0" borderId="0" xfId="70" applyFont="1" applyAlignment="1">
      <alignment horizontal="center"/>
      <protection/>
    </xf>
    <xf numFmtId="0" fontId="16" fillId="0" borderId="16" xfId="93" applyFont="1" applyBorder="1" applyAlignment="1">
      <alignment horizontal="center"/>
      <protection/>
    </xf>
    <xf numFmtId="0" fontId="16" fillId="0" borderId="10" xfId="93" applyFont="1" applyBorder="1" applyAlignment="1">
      <alignment horizontal="center" vertical="top" wrapText="1"/>
      <protection/>
    </xf>
    <xf numFmtId="0" fontId="16" fillId="0" borderId="12" xfId="93" applyFont="1" applyBorder="1" applyAlignment="1">
      <alignment horizontal="center" vertical="top" wrapText="1"/>
      <protection/>
    </xf>
    <xf numFmtId="0" fontId="16" fillId="0" borderId="14" xfId="93" applyFont="1" applyBorder="1" applyAlignment="1">
      <alignment horizontal="center" vertical="top"/>
      <protection/>
    </xf>
    <xf numFmtId="0" fontId="16" fillId="0" borderId="18" xfId="93" applyFont="1" applyBorder="1" applyAlignment="1">
      <alignment horizontal="center" vertical="top"/>
      <protection/>
    </xf>
    <xf numFmtId="0" fontId="16" fillId="0" borderId="15" xfId="93" applyFont="1" applyBorder="1" applyAlignment="1">
      <alignment horizontal="center" vertical="top"/>
      <protection/>
    </xf>
    <xf numFmtId="0" fontId="16" fillId="0" borderId="21" xfId="93" applyFont="1" applyBorder="1" applyAlignment="1">
      <alignment horizontal="center" vertical="top" wrapText="1"/>
      <protection/>
    </xf>
    <xf numFmtId="0" fontId="16" fillId="0" borderId="28" xfId="93" applyFont="1" applyBorder="1" applyAlignment="1">
      <alignment horizontal="center" vertical="top" wrapText="1"/>
      <protection/>
    </xf>
    <xf numFmtId="0" fontId="16" fillId="0" borderId="29" xfId="93" applyFont="1" applyBorder="1" applyAlignment="1">
      <alignment horizontal="center" vertical="top" wrapText="1"/>
      <protection/>
    </xf>
    <xf numFmtId="0" fontId="16" fillId="0" borderId="17" xfId="93" applyFont="1" applyBorder="1" applyAlignment="1">
      <alignment horizontal="center" vertical="top" wrapText="1"/>
      <protection/>
    </xf>
    <xf numFmtId="0" fontId="16" fillId="0" borderId="16" xfId="93" applyFont="1" applyBorder="1" applyAlignment="1">
      <alignment horizontal="center" vertical="top" wrapText="1"/>
      <protection/>
    </xf>
    <xf numFmtId="0" fontId="16" fillId="0" borderId="27" xfId="93" applyFont="1" applyBorder="1" applyAlignment="1">
      <alignment horizontal="center" vertical="top" wrapText="1"/>
      <protection/>
    </xf>
    <xf numFmtId="0" fontId="16" fillId="0" borderId="14" xfId="93" applyFont="1" applyBorder="1" applyAlignment="1">
      <alignment horizontal="center" vertical="top" wrapText="1"/>
      <protection/>
    </xf>
    <xf numFmtId="0" fontId="16" fillId="0" borderId="18" xfId="93" applyFont="1" applyBorder="1" applyAlignment="1">
      <alignment horizontal="center" vertical="top" wrapText="1"/>
      <protection/>
    </xf>
    <xf numFmtId="0" fontId="16" fillId="0" borderId="15" xfId="93" applyFont="1" applyBorder="1" applyAlignment="1">
      <alignment horizontal="center" vertical="top" wrapText="1"/>
      <protection/>
    </xf>
    <xf numFmtId="0" fontId="3" fillId="0" borderId="0" xfId="93" applyFont="1" applyAlignment="1">
      <alignment horizontal="right"/>
      <protection/>
    </xf>
    <xf numFmtId="0" fontId="4" fillId="0" borderId="0" xfId="93" applyFont="1" applyAlignment="1">
      <alignment horizontal="center"/>
      <protection/>
    </xf>
    <xf numFmtId="0" fontId="5" fillId="0" borderId="0" xfId="93" applyFont="1" applyAlignment="1">
      <alignment horizontal="center"/>
      <protection/>
    </xf>
    <xf numFmtId="0" fontId="2" fillId="0" borderId="0" xfId="93" applyFont="1" applyAlignment="1">
      <alignment horizontal="left"/>
      <protection/>
    </xf>
    <xf numFmtId="0" fontId="6" fillId="0" borderId="0" xfId="93" applyFont="1" applyAlignment="1">
      <alignment horizontal="right" vertical="top" wrapText="1"/>
      <protection/>
    </xf>
    <xf numFmtId="0" fontId="7" fillId="0" borderId="14" xfId="93" applyFont="1" applyBorder="1" applyAlignment="1">
      <alignment horizontal="center" vertical="top" wrapText="1"/>
      <protection/>
    </xf>
    <xf numFmtId="0" fontId="7" fillId="0" borderId="15" xfId="93" applyFont="1" applyBorder="1" applyAlignment="1">
      <alignment horizontal="center" vertical="top" wrapText="1"/>
      <protection/>
    </xf>
    <xf numFmtId="0" fontId="2" fillId="0" borderId="14" xfId="93" applyFont="1" applyBorder="1" applyAlignment="1">
      <alignment horizontal="center"/>
      <protection/>
    </xf>
    <xf numFmtId="0" fontId="2" fillId="0" borderId="15" xfId="93" applyFont="1" applyBorder="1" applyAlignment="1">
      <alignment horizontal="center"/>
      <protection/>
    </xf>
    <xf numFmtId="0" fontId="0" fillId="0" borderId="0" xfId="93" applyAlignment="1">
      <alignment horizontal="left"/>
      <protection/>
    </xf>
    <xf numFmtId="0" fontId="6" fillId="0" borderId="0" xfId="93" applyFont="1" applyAlignment="1">
      <alignment horizontal="center" vertical="top" wrapText="1"/>
      <protection/>
    </xf>
    <xf numFmtId="0" fontId="2" fillId="0" borderId="0" xfId="92" applyFont="1" applyAlignment="1">
      <alignment horizontal="center"/>
      <protection/>
    </xf>
    <xf numFmtId="0" fontId="11" fillId="0" borderId="0" xfId="92" applyFont="1" applyAlignment="1">
      <alignment horizontal="center"/>
      <protection/>
    </xf>
    <xf numFmtId="0" fontId="5" fillId="0" borderId="0" xfId="92" applyFont="1" applyAlignment="1">
      <alignment horizontal="center" wrapText="1"/>
      <protection/>
    </xf>
    <xf numFmtId="0" fontId="2" fillId="0" borderId="0" xfId="92" applyFont="1" applyAlignment="1">
      <alignment horizontal="left"/>
      <protection/>
    </xf>
    <xf numFmtId="0" fontId="16" fillId="0" borderId="0" xfId="92" applyFont="1" applyBorder="1" applyAlignment="1">
      <alignment horizontal="right"/>
      <protection/>
    </xf>
    <xf numFmtId="0" fontId="0" fillId="0" borderId="16" xfId="92" applyFont="1" applyBorder="1" applyAlignment="1">
      <alignment horizontal="center"/>
      <protection/>
    </xf>
    <xf numFmtId="0" fontId="0" fillId="0" borderId="0" xfId="92" applyFont="1">
      <alignment/>
      <protection/>
    </xf>
    <xf numFmtId="0" fontId="2" fillId="0" borderId="11" xfId="92" applyFont="1" applyBorder="1" applyAlignment="1">
      <alignment horizontal="center"/>
      <protection/>
    </xf>
    <xf numFmtId="0" fontId="2" fillId="0" borderId="0" xfId="92" applyFont="1" applyAlignment="1">
      <alignment horizontal="center" vertical="top" wrapText="1"/>
      <protection/>
    </xf>
    <xf numFmtId="0" fontId="2" fillId="0" borderId="0" xfId="92" applyFont="1" applyAlignment="1">
      <alignment horizontal="right" vertical="top" wrapText="1"/>
      <protection/>
    </xf>
    <xf numFmtId="0" fontId="2" fillId="0" borderId="14" xfId="92" applyFont="1" applyBorder="1" applyAlignment="1">
      <alignment horizontal="center"/>
      <protection/>
    </xf>
    <xf numFmtId="0" fontId="2" fillId="0" borderId="15" xfId="92" applyFont="1" applyBorder="1" applyAlignment="1">
      <alignment horizontal="center"/>
      <protection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2 2" xfId="59"/>
    <cellStyle name="Normal 12 3" xfId="60"/>
    <cellStyle name="Normal 12 4" xfId="61"/>
    <cellStyle name="Normal 13" xfId="62"/>
    <cellStyle name="Normal 14" xfId="63"/>
    <cellStyle name="Normal 14 2" xfId="64"/>
    <cellStyle name="Normal 15" xfId="65"/>
    <cellStyle name="Normal 15 2" xfId="66"/>
    <cellStyle name="Normal 16" xfId="67"/>
    <cellStyle name="Normal 17" xfId="68"/>
    <cellStyle name="Normal 18" xfId="69"/>
    <cellStyle name="Normal 2" xfId="70"/>
    <cellStyle name="Normal 2 2" xfId="71"/>
    <cellStyle name="Normal 2 2 2" xfId="72"/>
    <cellStyle name="Normal 2 2 3" xfId="73"/>
    <cellStyle name="Normal 2 2 4" xfId="74"/>
    <cellStyle name="Normal 2 2 5" xfId="75"/>
    <cellStyle name="Normal 2 2 6" xfId="76"/>
    <cellStyle name="Normal 2 2 7" xfId="77"/>
    <cellStyle name="Normal 2 3" xfId="78"/>
    <cellStyle name="Normal 2 4" xfId="79"/>
    <cellStyle name="Normal 2 4 2" xfId="80"/>
    <cellStyle name="Normal 2 4 3" xfId="81"/>
    <cellStyle name="Normal 2 4 3 2" xfId="82"/>
    <cellStyle name="Normal 2 4 3 3" xfId="83"/>
    <cellStyle name="Normal 2 4 3 4" xfId="84"/>
    <cellStyle name="Normal 2 4 4" xfId="85"/>
    <cellStyle name="Normal 2 4 5" xfId="86"/>
    <cellStyle name="Normal 2 4 6" xfId="87"/>
    <cellStyle name="Normal 2 5" xfId="88"/>
    <cellStyle name="Normal 2 5 2" xfId="89"/>
    <cellStyle name="Normal 2 6" xfId="90"/>
    <cellStyle name="Normal 2 7" xfId="91"/>
    <cellStyle name="Normal 3" xfId="92"/>
    <cellStyle name="Normal 3 2" xfId="93"/>
    <cellStyle name="Normal 3 3" xfId="94"/>
    <cellStyle name="Normal 3 3 2" xfId="95"/>
    <cellStyle name="Normal 3 3 2 2" xfId="96"/>
    <cellStyle name="Normal 3 3 3" xfId="97"/>
    <cellStyle name="Normal 3 3 4" xfId="98"/>
    <cellStyle name="Normal 3 3 5" xfId="99"/>
    <cellStyle name="Normal 4" xfId="100"/>
    <cellStyle name="Normal 5" xfId="101"/>
    <cellStyle name="Normal 6" xfId="102"/>
    <cellStyle name="Normal 6 2" xfId="103"/>
    <cellStyle name="Normal 6 2 2" xfId="104"/>
    <cellStyle name="Normal 7" xfId="105"/>
    <cellStyle name="Normal 7 2" xfId="106"/>
    <cellStyle name="Normal 8" xfId="107"/>
    <cellStyle name="Normal 9" xfId="108"/>
    <cellStyle name="Note" xfId="109"/>
    <cellStyle name="Output" xfId="110"/>
    <cellStyle name="Percent" xfId="111"/>
    <cellStyle name="Title" xfId="112"/>
    <cellStyle name="Total" xfId="113"/>
    <cellStyle name="Warning Text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styles" Target="styles.xml" /><Relationship Id="rId73" Type="http://schemas.openxmlformats.org/officeDocument/2006/relationships/sharedStrings" Target="sharedStrings.xml" /><Relationship Id="rId74" Type="http://schemas.openxmlformats.org/officeDocument/2006/relationships/externalLink" Target="externalLinks/externalLink1.xml" /><Relationship Id="rId7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12</xdr:row>
      <xdr:rowOff>104775</xdr:rowOff>
    </xdr:from>
    <xdr:ext cx="9267825" cy="4533900"/>
    <xdr:sp>
      <xdr:nvSpPr>
        <xdr:cNvPr id="1" name="Rectangle 1"/>
        <xdr:cNvSpPr>
          <a:spLocks/>
        </xdr:cNvSpPr>
      </xdr:nvSpPr>
      <xdr:spPr>
        <a:xfrm>
          <a:off x="2466975" y="2047875"/>
          <a:ext cx="9267825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/>
            <a:t>Annual Work Plan &amp; Budget
</a:t>
          </a:r>
          <a:r>
            <a:rPr lang="en-US" cap="none" sz="5400" b="1" i="0" u="none" baseline="0"/>
            <a:t>2019-20
</a:t>
          </a:r>
          <a:r>
            <a:rPr lang="en-US" cap="none" sz="5400" b="1" i="0" u="none" baseline="0"/>
            <a:t>
</a:t>
          </a:r>
          <a:r>
            <a:rPr lang="en-US" cap="none" sz="4400" b="1" i="0" u="none" baseline="0"/>
            <a:t>State-</a:t>
          </a:r>
          <a:r>
            <a:rPr lang="en-US" cap="none" sz="4400" b="1" i="0" u="none" baseline="0"/>
            <a:t> Chhattisgarh
</a:t>
          </a:r>
          <a:r>
            <a:rPr lang="en-US" cap="none" sz="4400" b="1" i="0" u="none" baseline="0"/>
            <a:t>Date of Submission 30-04-2019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600075</xdr:colOff>
      <xdr:row>11</xdr:row>
      <xdr:rowOff>19050</xdr:rowOff>
    </xdr:from>
    <xdr:ext cx="2686050" cy="304800"/>
    <xdr:sp>
      <xdr:nvSpPr>
        <xdr:cNvPr id="1" name="TextBox 1"/>
        <xdr:cNvSpPr txBox="1">
          <a:spLocks noChangeArrowheads="1"/>
        </xdr:cNvSpPr>
      </xdr:nvSpPr>
      <xdr:spPr>
        <a:xfrm>
          <a:off x="4105275" y="2447925"/>
          <a:ext cx="2686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Not  implimented in State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819150</xdr:colOff>
      <xdr:row>16</xdr:row>
      <xdr:rowOff>171450</xdr:rowOff>
    </xdr:from>
    <xdr:ext cx="190500" cy="295275"/>
    <xdr:sp>
      <xdr:nvSpPr>
        <xdr:cNvPr id="1" name="TextBox 1"/>
        <xdr:cNvSpPr txBox="1">
          <a:spLocks noChangeArrowheads="1"/>
        </xdr:cNvSpPr>
      </xdr:nvSpPr>
      <xdr:spPr>
        <a:xfrm>
          <a:off x="5600700" y="4067175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9525</xdr:colOff>
      <xdr:row>15</xdr:row>
      <xdr:rowOff>114300</xdr:rowOff>
    </xdr:from>
    <xdr:ext cx="6391275" cy="876300"/>
    <xdr:sp>
      <xdr:nvSpPr>
        <xdr:cNvPr id="2" name="TextBox 2"/>
        <xdr:cNvSpPr txBox="1">
          <a:spLocks noChangeArrowheads="1"/>
        </xdr:cNvSpPr>
      </xdr:nvSpPr>
      <xdr:spPr>
        <a:xfrm>
          <a:off x="4791075" y="3819525"/>
          <a:ext cx="63912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5400" b="0" i="0" u="none" baseline="0">
              <a:solidFill>
                <a:srgbClr val="000000"/>
              </a:solidFill>
            </a:rPr>
            <a:t>Nil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438150</xdr:colOff>
      <xdr:row>17</xdr:row>
      <xdr:rowOff>28575</xdr:rowOff>
    </xdr:from>
    <xdr:ext cx="2324100" cy="409575"/>
    <xdr:sp>
      <xdr:nvSpPr>
        <xdr:cNvPr id="1" name="TextBox 1"/>
        <xdr:cNvSpPr txBox="1">
          <a:spLocks noChangeArrowheads="1"/>
        </xdr:cNvSpPr>
      </xdr:nvSpPr>
      <xdr:spPr>
        <a:xfrm>
          <a:off x="5781675" y="3609975"/>
          <a:ext cx="23241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Not Applicable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</xdr:colOff>
      <xdr:row>16</xdr:row>
      <xdr:rowOff>180975</xdr:rowOff>
    </xdr:from>
    <xdr:ext cx="1971675" cy="400050"/>
    <xdr:sp>
      <xdr:nvSpPr>
        <xdr:cNvPr id="1" name="TextBox 1"/>
        <xdr:cNvSpPr txBox="1">
          <a:spLocks noChangeArrowheads="1"/>
        </xdr:cNvSpPr>
      </xdr:nvSpPr>
      <xdr:spPr>
        <a:xfrm>
          <a:off x="5286375" y="3933825"/>
          <a:ext cx="1971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Not Applicable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95250</xdr:colOff>
      <xdr:row>17</xdr:row>
      <xdr:rowOff>142875</xdr:rowOff>
    </xdr:from>
    <xdr:ext cx="1971675" cy="409575"/>
    <xdr:sp>
      <xdr:nvSpPr>
        <xdr:cNvPr id="1" name="TextBox 1"/>
        <xdr:cNvSpPr txBox="1">
          <a:spLocks noChangeArrowheads="1"/>
        </xdr:cNvSpPr>
      </xdr:nvSpPr>
      <xdr:spPr>
        <a:xfrm>
          <a:off x="7239000" y="4629150"/>
          <a:ext cx="1971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Not Applicable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19050</xdr:rowOff>
    </xdr:from>
    <xdr:ext cx="5591175" cy="2628900"/>
    <xdr:sp>
      <xdr:nvSpPr>
        <xdr:cNvPr id="1" name="Rectangle 1"/>
        <xdr:cNvSpPr>
          <a:spLocks/>
        </xdr:cNvSpPr>
      </xdr:nvSpPr>
      <xdr:spPr>
        <a:xfrm>
          <a:off x="609600" y="342900"/>
          <a:ext cx="5591175" cy="2628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/>
            <a:t>Performance during 
</a:t>
          </a:r>
          <a:r>
            <a:rPr lang="en-US" cap="none" sz="5400" b="1" i="0" u="none" baseline="0"/>
            <a:t>2018-19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352425</xdr:colOff>
      <xdr:row>15</xdr:row>
      <xdr:rowOff>66675</xdr:rowOff>
    </xdr:from>
    <xdr:ext cx="2295525" cy="466725"/>
    <xdr:sp>
      <xdr:nvSpPr>
        <xdr:cNvPr id="1" name="TextBox 1"/>
        <xdr:cNvSpPr txBox="1">
          <a:spLocks noChangeArrowheads="1"/>
        </xdr:cNvSpPr>
      </xdr:nvSpPr>
      <xdr:spPr>
        <a:xfrm>
          <a:off x="4324350" y="3305175"/>
          <a:ext cx="22955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Not Applicable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17</xdr:row>
      <xdr:rowOff>38100</xdr:rowOff>
    </xdr:from>
    <xdr:ext cx="2295525" cy="476250"/>
    <xdr:sp>
      <xdr:nvSpPr>
        <xdr:cNvPr id="1" name="TextBox 1"/>
        <xdr:cNvSpPr txBox="1">
          <a:spLocks noChangeArrowheads="1"/>
        </xdr:cNvSpPr>
      </xdr:nvSpPr>
      <xdr:spPr>
        <a:xfrm>
          <a:off x="3686175" y="3695700"/>
          <a:ext cx="2295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Not Applicable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447675</xdr:colOff>
      <xdr:row>18</xdr:row>
      <xdr:rowOff>9525</xdr:rowOff>
    </xdr:from>
    <xdr:ext cx="2295525" cy="466725"/>
    <xdr:sp>
      <xdr:nvSpPr>
        <xdr:cNvPr id="1" name="TextBox 1"/>
        <xdr:cNvSpPr txBox="1">
          <a:spLocks noChangeArrowheads="1"/>
        </xdr:cNvSpPr>
      </xdr:nvSpPr>
      <xdr:spPr>
        <a:xfrm rot="19590424">
          <a:off x="6648450" y="3800475"/>
          <a:ext cx="22955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Not Applicable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800100</xdr:colOff>
      <xdr:row>17</xdr:row>
      <xdr:rowOff>152400</xdr:rowOff>
    </xdr:from>
    <xdr:ext cx="2305050" cy="466725"/>
    <xdr:sp>
      <xdr:nvSpPr>
        <xdr:cNvPr id="1" name="TextBox 2"/>
        <xdr:cNvSpPr txBox="1">
          <a:spLocks noChangeArrowheads="1"/>
        </xdr:cNvSpPr>
      </xdr:nvSpPr>
      <xdr:spPr>
        <a:xfrm rot="19732258">
          <a:off x="5876925" y="3905250"/>
          <a:ext cx="23050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Not Applicable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133350</xdr:colOff>
      <xdr:row>16</xdr:row>
      <xdr:rowOff>133350</xdr:rowOff>
    </xdr:from>
    <xdr:ext cx="3676650" cy="476250"/>
    <xdr:sp>
      <xdr:nvSpPr>
        <xdr:cNvPr id="1" name="TextBox 2"/>
        <xdr:cNvSpPr txBox="1">
          <a:spLocks noChangeArrowheads="1"/>
        </xdr:cNvSpPr>
      </xdr:nvSpPr>
      <xdr:spPr>
        <a:xfrm rot="20047738">
          <a:off x="2667000" y="3752850"/>
          <a:ext cx="36766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Not Applicable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19</xdr:row>
      <xdr:rowOff>28575</xdr:rowOff>
    </xdr:from>
    <xdr:ext cx="2295525" cy="466725"/>
    <xdr:sp>
      <xdr:nvSpPr>
        <xdr:cNvPr id="1" name="TextBox 1"/>
        <xdr:cNvSpPr txBox="1">
          <a:spLocks noChangeArrowheads="1"/>
        </xdr:cNvSpPr>
      </xdr:nvSpPr>
      <xdr:spPr>
        <a:xfrm rot="20441846">
          <a:off x="3352800" y="4886325"/>
          <a:ext cx="22955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Not Applicable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514350</xdr:colOff>
      <xdr:row>16</xdr:row>
      <xdr:rowOff>142875</xdr:rowOff>
    </xdr:from>
    <xdr:ext cx="742950" cy="704850"/>
    <xdr:sp>
      <xdr:nvSpPr>
        <xdr:cNvPr id="1" name="TextBox 1"/>
        <xdr:cNvSpPr txBox="1">
          <a:spLocks noChangeArrowheads="1"/>
        </xdr:cNvSpPr>
      </xdr:nvSpPr>
      <xdr:spPr>
        <a:xfrm>
          <a:off x="4248150" y="4086225"/>
          <a:ext cx="7429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Nil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mailto:dpi.mdm@gmail.com" TargetMode="Externa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N59:T61"/>
  <sheetViews>
    <sheetView zoomScale="73" zoomScaleNormal="73" zoomScaleSheetLayoutView="90" zoomScalePageLayoutView="0" workbookViewId="0" topLeftCell="A1">
      <selection activeCell="A22" sqref="A22:IV22"/>
    </sheetView>
  </sheetViews>
  <sheetFormatPr defaultColWidth="9.140625" defaultRowHeight="12.75"/>
  <cols>
    <col min="16" max="16" width="12.421875" style="0" customWidth="1"/>
  </cols>
  <sheetData>
    <row r="59" spans="16:18" ht="12.75">
      <c r="P59" s="152"/>
      <c r="Q59" s="152"/>
      <c r="R59" s="152"/>
    </row>
    <row r="61" spans="14:20" ht="21" customHeight="1">
      <c r="N61" s="853"/>
      <c r="O61" s="853"/>
      <c r="P61" s="853"/>
      <c r="Q61" s="853"/>
      <c r="R61" s="853"/>
      <c r="S61" s="853"/>
      <c r="T61" s="853"/>
    </row>
  </sheetData>
  <sheetProtection/>
  <mergeCells count="1">
    <mergeCell ref="N61:T61"/>
  </mergeCells>
  <printOptions horizontalCentered="1" verticalCentered="1"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D51"/>
  <sheetViews>
    <sheetView zoomScaleSheetLayoutView="80" zoomScalePageLayoutView="0" workbookViewId="0" topLeftCell="A34">
      <selection activeCell="I49" sqref="I49:N49"/>
    </sheetView>
  </sheetViews>
  <sheetFormatPr defaultColWidth="9.140625" defaultRowHeight="12.75"/>
  <cols>
    <col min="2" max="2" width="16.00390625" style="0" customWidth="1"/>
    <col min="3" max="3" width="11.28125" style="0" customWidth="1"/>
    <col min="5" max="5" width="9.57421875" style="0" customWidth="1"/>
    <col min="6" max="6" width="9.8515625" style="0" customWidth="1"/>
    <col min="7" max="7" width="8.8515625" style="0" customWidth="1"/>
    <col min="8" max="8" width="10.57421875" style="0" customWidth="1"/>
    <col min="9" max="9" width="9.8515625" style="0" customWidth="1"/>
    <col min="11" max="11" width="11.8515625" style="0" customWidth="1"/>
    <col min="12" max="12" width="9.421875" style="0" customWidth="1"/>
    <col min="13" max="13" width="12.00390625" style="0" customWidth="1"/>
    <col min="14" max="14" width="14.140625" style="0" customWidth="1"/>
  </cols>
  <sheetData>
    <row r="1" spans="4:13" ht="12.75" customHeight="1">
      <c r="D1" s="853"/>
      <c r="E1" s="853"/>
      <c r="F1" s="853"/>
      <c r="G1" s="853"/>
      <c r="H1" s="853"/>
      <c r="I1" s="853"/>
      <c r="J1" s="853"/>
      <c r="M1" s="102" t="s">
        <v>276</v>
      </c>
    </row>
    <row r="2" spans="1:14" ht="15">
      <c r="A2" s="969" t="s">
        <v>0</v>
      </c>
      <c r="B2" s="969"/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969"/>
      <c r="N2" s="969"/>
    </row>
    <row r="3" spans="1:14" ht="20.25">
      <c r="A3" s="902" t="s">
        <v>859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</row>
    <row r="4" ht="11.25" customHeight="1"/>
    <row r="5" spans="1:14" ht="15.75">
      <c r="A5" s="903" t="s">
        <v>904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</row>
    <row r="7" spans="1:15" ht="12.75">
      <c r="A7" s="898" t="s">
        <v>634</v>
      </c>
      <c r="B7" s="898"/>
      <c r="L7" s="968" t="s">
        <v>906</v>
      </c>
      <c r="M7" s="968"/>
      <c r="N7" s="968"/>
      <c r="O7" s="110"/>
    </row>
    <row r="8" spans="1:14" ht="15.75" customHeight="1">
      <c r="A8" s="963" t="s">
        <v>2</v>
      </c>
      <c r="B8" s="963" t="s">
        <v>3</v>
      </c>
      <c r="C8" s="876" t="s">
        <v>4</v>
      </c>
      <c r="D8" s="876"/>
      <c r="E8" s="876"/>
      <c r="F8" s="867"/>
      <c r="G8" s="867"/>
      <c r="H8" s="876" t="s">
        <v>103</v>
      </c>
      <c r="I8" s="876"/>
      <c r="J8" s="876"/>
      <c r="K8" s="876"/>
      <c r="L8" s="876"/>
      <c r="M8" s="963" t="s">
        <v>140</v>
      </c>
      <c r="N8" s="871" t="s">
        <v>141</v>
      </c>
    </row>
    <row r="9" spans="1:19" ht="51">
      <c r="A9" s="964"/>
      <c r="B9" s="964"/>
      <c r="C9" s="5" t="s">
        <v>5</v>
      </c>
      <c r="D9" s="5" t="s">
        <v>6</v>
      </c>
      <c r="E9" s="5" t="s">
        <v>353</v>
      </c>
      <c r="F9" s="5" t="s">
        <v>101</v>
      </c>
      <c r="G9" s="5" t="s">
        <v>123</v>
      </c>
      <c r="H9" s="5" t="s">
        <v>5</v>
      </c>
      <c r="I9" s="5" t="s">
        <v>6</v>
      </c>
      <c r="J9" s="5" t="s">
        <v>353</v>
      </c>
      <c r="K9" s="7" t="s">
        <v>101</v>
      </c>
      <c r="L9" s="7" t="s">
        <v>124</v>
      </c>
      <c r="M9" s="964"/>
      <c r="N9" s="871"/>
      <c r="R9" s="9"/>
      <c r="S9" s="12"/>
    </row>
    <row r="10" spans="1:14" s="14" customFormat="1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495">
        <v>11</v>
      </c>
      <c r="L10" s="109">
        <v>12</v>
      </c>
      <c r="M10" s="109">
        <v>13</v>
      </c>
      <c r="N10" s="3">
        <v>14</v>
      </c>
    </row>
    <row r="11" spans="1:30" s="14" customFormat="1" ht="15">
      <c r="A11" s="581">
        <v>1</v>
      </c>
      <c r="B11" s="586" t="s">
        <v>898</v>
      </c>
      <c r="C11" s="588">
        <v>556</v>
      </c>
      <c r="D11" s="588">
        <v>5</v>
      </c>
      <c r="E11" s="588">
        <v>0</v>
      </c>
      <c r="F11" s="588">
        <v>3</v>
      </c>
      <c r="G11" s="590">
        <f>SUM(C11:F11)</f>
        <v>564</v>
      </c>
      <c r="H11" s="291">
        <f>C11</f>
        <v>556</v>
      </c>
      <c r="I11" s="291">
        <f>D11</f>
        <v>5</v>
      </c>
      <c r="J11" s="291">
        <f>E11</f>
        <v>0</v>
      </c>
      <c r="K11" s="291">
        <f>F11</f>
        <v>3</v>
      </c>
      <c r="L11" s="291">
        <f>SUM(H11:K11)</f>
        <v>564</v>
      </c>
      <c r="M11" s="291">
        <f aca="true" t="shared" si="0" ref="M11:M37">G11-L11</f>
        <v>0</v>
      </c>
      <c r="N11" s="9"/>
      <c r="AD11" s="14">
        <f>ROUND(L11/G11*100,2)</f>
        <v>100</v>
      </c>
    </row>
    <row r="12" spans="1:30" s="14" customFormat="1" ht="15">
      <c r="A12" s="581">
        <v>2</v>
      </c>
      <c r="B12" s="586" t="s">
        <v>899</v>
      </c>
      <c r="C12" s="588">
        <v>551</v>
      </c>
      <c r="D12" s="588">
        <v>9</v>
      </c>
      <c r="E12" s="588">
        <v>0</v>
      </c>
      <c r="F12" s="588">
        <v>10</v>
      </c>
      <c r="G12" s="590">
        <f aca="true" t="shared" si="1" ref="G12:G37">SUM(C12:F12)</f>
        <v>570</v>
      </c>
      <c r="H12" s="291">
        <f aca="true" t="shared" si="2" ref="H12:H37">C12</f>
        <v>551</v>
      </c>
      <c r="I12" s="291">
        <f aca="true" t="shared" si="3" ref="I12:I37">D12</f>
        <v>9</v>
      </c>
      <c r="J12" s="291">
        <f aca="true" t="shared" si="4" ref="J12:J37">E12</f>
        <v>0</v>
      </c>
      <c r="K12" s="291">
        <f aca="true" t="shared" si="5" ref="K12:K37">F12</f>
        <v>10</v>
      </c>
      <c r="L12" s="291">
        <f aca="true" t="shared" si="6" ref="L12:L17">SUM(H12:K12)</f>
        <v>570</v>
      </c>
      <c r="M12" s="291">
        <f t="shared" si="0"/>
        <v>0</v>
      </c>
      <c r="N12" s="9"/>
      <c r="AD12" s="14">
        <f aca="true" t="shared" si="7" ref="AD12:AD38">ROUND(L12/G12*100,2)</f>
        <v>100</v>
      </c>
    </row>
    <row r="13" spans="1:30" s="14" customFormat="1" ht="15">
      <c r="A13" s="581">
        <v>3</v>
      </c>
      <c r="B13" s="586" t="s">
        <v>839</v>
      </c>
      <c r="C13" s="588">
        <v>564</v>
      </c>
      <c r="D13" s="588">
        <v>10</v>
      </c>
      <c r="E13" s="588">
        <v>0</v>
      </c>
      <c r="F13" s="588">
        <v>1</v>
      </c>
      <c r="G13" s="590">
        <f t="shared" si="1"/>
        <v>575</v>
      </c>
      <c r="H13" s="291">
        <f t="shared" si="2"/>
        <v>564</v>
      </c>
      <c r="I13" s="291">
        <f t="shared" si="3"/>
        <v>10</v>
      </c>
      <c r="J13" s="291">
        <f t="shared" si="4"/>
        <v>0</v>
      </c>
      <c r="K13" s="291">
        <f t="shared" si="5"/>
        <v>1</v>
      </c>
      <c r="L13" s="291">
        <f t="shared" si="6"/>
        <v>575</v>
      </c>
      <c r="M13" s="291">
        <f t="shared" si="0"/>
        <v>0</v>
      </c>
      <c r="N13" s="9"/>
      <c r="AD13" s="14">
        <f t="shared" si="7"/>
        <v>100</v>
      </c>
    </row>
    <row r="14" spans="1:30" s="14" customFormat="1" ht="15">
      <c r="A14" s="581">
        <v>4</v>
      </c>
      <c r="B14" s="586" t="s">
        <v>743</v>
      </c>
      <c r="C14" s="588">
        <v>760</v>
      </c>
      <c r="D14" s="588">
        <v>23</v>
      </c>
      <c r="E14" s="588">
        <v>0</v>
      </c>
      <c r="F14" s="588">
        <v>2</v>
      </c>
      <c r="G14" s="590">
        <f t="shared" si="1"/>
        <v>785</v>
      </c>
      <c r="H14" s="291">
        <f t="shared" si="2"/>
        <v>760</v>
      </c>
      <c r="I14" s="291">
        <f t="shared" si="3"/>
        <v>23</v>
      </c>
      <c r="J14" s="291">
        <f t="shared" si="4"/>
        <v>0</v>
      </c>
      <c r="K14" s="291">
        <f t="shared" si="5"/>
        <v>2</v>
      </c>
      <c r="L14" s="291">
        <f t="shared" si="6"/>
        <v>785</v>
      </c>
      <c r="M14" s="291">
        <f t="shared" si="0"/>
        <v>0</v>
      </c>
      <c r="N14" s="9"/>
      <c r="AD14" s="14">
        <f t="shared" si="7"/>
        <v>100</v>
      </c>
    </row>
    <row r="15" spans="1:30" s="14" customFormat="1" ht="15">
      <c r="A15" s="581">
        <v>5</v>
      </c>
      <c r="B15" s="586" t="s">
        <v>748</v>
      </c>
      <c r="C15" s="588">
        <v>904</v>
      </c>
      <c r="D15" s="588">
        <v>13</v>
      </c>
      <c r="E15" s="588">
        <v>0</v>
      </c>
      <c r="F15" s="588">
        <v>2</v>
      </c>
      <c r="G15" s="590">
        <f t="shared" si="1"/>
        <v>919</v>
      </c>
      <c r="H15" s="291">
        <f t="shared" si="2"/>
        <v>904</v>
      </c>
      <c r="I15" s="291">
        <f t="shared" si="3"/>
        <v>13</v>
      </c>
      <c r="J15" s="291">
        <f t="shared" si="4"/>
        <v>0</v>
      </c>
      <c r="K15" s="291">
        <f t="shared" si="5"/>
        <v>2</v>
      </c>
      <c r="L15" s="291">
        <f t="shared" si="6"/>
        <v>919</v>
      </c>
      <c r="M15" s="291">
        <f t="shared" si="0"/>
        <v>0</v>
      </c>
      <c r="N15" s="9"/>
      <c r="AD15" s="14">
        <f t="shared" si="7"/>
        <v>100</v>
      </c>
    </row>
    <row r="16" spans="1:30" s="14" customFormat="1" ht="15">
      <c r="A16" s="581">
        <v>6</v>
      </c>
      <c r="B16" s="586" t="s">
        <v>747</v>
      </c>
      <c r="C16" s="588">
        <v>786</v>
      </c>
      <c r="D16" s="588">
        <v>6</v>
      </c>
      <c r="E16" s="588">
        <v>1</v>
      </c>
      <c r="F16" s="588">
        <v>2</v>
      </c>
      <c r="G16" s="590">
        <f t="shared" si="1"/>
        <v>795</v>
      </c>
      <c r="H16" s="291">
        <f t="shared" si="2"/>
        <v>786</v>
      </c>
      <c r="I16" s="291">
        <f t="shared" si="3"/>
        <v>6</v>
      </c>
      <c r="J16" s="291">
        <f t="shared" si="4"/>
        <v>1</v>
      </c>
      <c r="K16" s="291">
        <f t="shared" si="5"/>
        <v>2</v>
      </c>
      <c r="L16" s="291">
        <f t="shared" si="6"/>
        <v>795</v>
      </c>
      <c r="M16" s="291">
        <f t="shared" si="0"/>
        <v>0</v>
      </c>
      <c r="N16" s="9"/>
      <c r="AD16" s="14">
        <f t="shared" si="7"/>
        <v>100</v>
      </c>
    </row>
    <row r="17" spans="1:30" s="14" customFormat="1" ht="15">
      <c r="A17" s="581">
        <v>7</v>
      </c>
      <c r="B17" s="586" t="s">
        <v>737</v>
      </c>
      <c r="C17" s="588">
        <v>340</v>
      </c>
      <c r="D17" s="588">
        <v>13</v>
      </c>
      <c r="E17" s="588">
        <v>0</v>
      </c>
      <c r="F17" s="588">
        <v>7</v>
      </c>
      <c r="G17" s="590">
        <f t="shared" si="1"/>
        <v>360</v>
      </c>
      <c r="H17" s="291">
        <f t="shared" si="2"/>
        <v>340</v>
      </c>
      <c r="I17" s="291">
        <f t="shared" si="3"/>
        <v>13</v>
      </c>
      <c r="J17" s="291">
        <f t="shared" si="4"/>
        <v>0</v>
      </c>
      <c r="K17" s="291">
        <f t="shared" si="5"/>
        <v>7</v>
      </c>
      <c r="L17" s="291">
        <f t="shared" si="6"/>
        <v>360</v>
      </c>
      <c r="M17" s="291">
        <f t="shared" si="0"/>
        <v>0</v>
      </c>
      <c r="N17" s="9"/>
      <c r="AD17" s="14">
        <f t="shared" si="7"/>
        <v>100</v>
      </c>
    </row>
    <row r="18" spans="1:30" s="14" customFormat="1" ht="15">
      <c r="A18" s="581">
        <v>8</v>
      </c>
      <c r="B18" s="586" t="s">
        <v>749</v>
      </c>
      <c r="C18" s="588">
        <v>460</v>
      </c>
      <c r="D18" s="588">
        <v>15</v>
      </c>
      <c r="E18" s="588">
        <v>3</v>
      </c>
      <c r="F18" s="588">
        <v>3</v>
      </c>
      <c r="G18" s="590">
        <f t="shared" si="1"/>
        <v>481</v>
      </c>
      <c r="H18" s="291">
        <f t="shared" si="2"/>
        <v>460</v>
      </c>
      <c r="I18" s="291">
        <f t="shared" si="3"/>
        <v>15</v>
      </c>
      <c r="J18" s="291">
        <f t="shared" si="4"/>
        <v>3</v>
      </c>
      <c r="K18" s="291">
        <f t="shared" si="5"/>
        <v>3</v>
      </c>
      <c r="L18" s="291">
        <f>SUM(H18:K18)</f>
        <v>481</v>
      </c>
      <c r="M18" s="291">
        <f t="shared" si="0"/>
        <v>0</v>
      </c>
      <c r="N18" s="9"/>
      <c r="AD18" s="14">
        <f t="shared" si="7"/>
        <v>100</v>
      </c>
    </row>
    <row r="19" spans="1:30" s="14" customFormat="1" ht="15">
      <c r="A19" s="581">
        <v>9</v>
      </c>
      <c r="B19" s="586" t="s">
        <v>834</v>
      </c>
      <c r="C19" s="588">
        <v>635</v>
      </c>
      <c r="D19" s="588">
        <v>10</v>
      </c>
      <c r="E19" s="588">
        <v>1</v>
      </c>
      <c r="F19" s="588">
        <v>1</v>
      </c>
      <c r="G19" s="590">
        <f t="shared" si="1"/>
        <v>647</v>
      </c>
      <c r="H19" s="291">
        <f t="shared" si="2"/>
        <v>635</v>
      </c>
      <c r="I19" s="291">
        <f t="shared" si="3"/>
        <v>10</v>
      </c>
      <c r="J19" s="291">
        <f t="shared" si="4"/>
        <v>1</v>
      </c>
      <c r="K19" s="291">
        <f t="shared" si="5"/>
        <v>1</v>
      </c>
      <c r="L19" s="291">
        <f aca="true" t="shared" si="8" ref="L19:L37">SUM(H19:K19)</f>
        <v>647</v>
      </c>
      <c r="M19" s="291">
        <f t="shared" si="0"/>
        <v>0</v>
      </c>
      <c r="N19" s="9"/>
      <c r="AD19" s="14">
        <f t="shared" si="7"/>
        <v>100</v>
      </c>
    </row>
    <row r="20" spans="1:30" s="14" customFormat="1" ht="15">
      <c r="A20" s="581">
        <v>10</v>
      </c>
      <c r="B20" s="586" t="s">
        <v>739</v>
      </c>
      <c r="C20" s="588">
        <v>135</v>
      </c>
      <c r="D20" s="588">
        <v>8</v>
      </c>
      <c r="E20" s="588">
        <v>0</v>
      </c>
      <c r="F20" s="588">
        <v>0</v>
      </c>
      <c r="G20" s="590">
        <f t="shared" si="1"/>
        <v>143</v>
      </c>
      <c r="H20" s="291">
        <f t="shared" si="2"/>
        <v>135</v>
      </c>
      <c r="I20" s="291">
        <f t="shared" si="3"/>
        <v>8</v>
      </c>
      <c r="J20" s="291">
        <f t="shared" si="4"/>
        <v>0</v>
      </c>
      <c r="K20" s="291">
        <f t="shared" si="5"/>
        <v>0</v>
      </c>
      <c r="L20" s="291">
        <f t="shared" si="8"/>
        <v>143</v>
      </c>
      <c r="M20" s="291">
        <f t="shared" si="0"/>
        <v>0</v>
      </c>
      <c r="N20" s="9"/>
      <c r="AD20" s="14">
        <f t="shared" si="7"/>
        <v>100</v>
      </c>
    </row>
    <row r="21" spans="1:30" s="14" customFormat="1" ht="15">
      <c r="A21" s="581">
        <v>11</v>
      </c>
      <c r="B21" s="586" t="s">
        <v>900</v>
      </c>
      <c r="C21" s="588">
        <v>214</v>
      </c>
      <c r="D21" s="588">
        <v>3</v>
      </c>
      <c r="E21" s="588">
        <v>0</v>
      </c>
      <c r="F21" s="588">
        <v>0</v>
      </c>
      <c r="G21" s="590">
        <f t="shared" si="1"/>
        <v>217</v>
      </c>
      <c r="H21" s="291">
        <f t="shared" si="2"/>
        <v>214</v>
      </c>
      <c r="I21" s="291">
        <f t="shared" si="3"/>
        <v>3</v>
      </c>
      <c r="J21" s="291">
        <f t="shared" si="4"/>
        <v>0</v>
      </c>
      <c r="K21" s="291">
        <f t="shared" si="5"/>
        <v>0</v>
      </c>
      <c r="L21" s="291">
        <f t="shared" si="8"/>
        <v>217</v>
      </c>
      <c r="M21" s="291">
        <f t="shared" si="0"/>
        <v>0</v>
      </c>
      <c r="N21" s="9"/>
      <c r="AD21" s="14">
        <f t="shared" si="7"/>
        <v>100</v>
      </c>
    </row>
    <row r="22" spans="1:30" ht="15">
      <c r="A22" s="581">
        <v>12</v>
      </c>
      <c r="B22" s="586" t="s">
        <v>731</v>
      </c>
      <c r="C22" s="588">
        <v>605</v>
      </c>
      <c r="D22" s="588">
        <v>0</v>
      </c>
      <c r="E22" s="588">
        <v>0</v>
      </c>
      <c r="F22" s="588">
        <v>1</v>
      </c>
      <c r="G22" s="590">
        <f t="shared" si="1"/>
        <v>606</v>
      </c>
      <c r="H22" s="291">
        <f t="shared" si="2"/>
        <v>605</v>
      </c>
      <c r="I22" s="291">
        <f t="shared" si="3"/>
        <v>0</v>
      </c>
      <c r="J22" s="291">
        <f t="shared" si="4"/>
        <v>0</v>
      </c>
      <c r="K22" s="291">
        <f t="shared" si="5"/>
        <v>1</v>
      </c>
      <c r="L22" s="291">
        <f t="shared" si="8"/>
        <v>606</v>
      </c>
      <c r="M22" s="291">
        <f t="shared" si="0"/>
        <v>0</v>
      </c>
      <c r="N22" s="9"/>
      <c r="P22" s="14"/>
      <c r="AD22" s="14">
        <f t="shared" si="7"/>
        <v>100</v>
      </c>
    </row>
    <row r="23" spans="1:30" ht="15">
      <c r="A23" s="581">
        <v>13</v>
      </c>
      <c r="B23" s="586" t="s">
        <v>742</v>
      </c>
      <c r="C23" s="588">
        <v>410</v>
      </c>
      <c r="D23" s="588">
        <v>3</v>
      </c>
      <c r="E23" s="588">
        <v>0</v>
      </c>
      <c r="F23" s="588">
        <v>0</v>
      </c>
      <c r="G23" s="590">
        <f t="shared" si="1"/>
        <v>413</v>
      </c>
      <c r="H23" s="291">
        <f t="shared" si="2"/>
        <v>410</v>
      </c>
      <c r="I23" s="291">
        <f t="shared" si="3"/>
        <v>3</v>
      </c>
      <c r="J23" s="291">
        <f t="shared" si="4"/>
        <v>0</v>
      </c>
      <c r="K23" s="291">
        <f t="shared" si="5"/>
        <v>0</v>
      </c>
      <c r="L23" s="291">
        <f t="shared" si="8"/>
        <v>413</v>
      </c>
      <c r="M23" s="291">
        <f t="shared" si="0"/>
        <v>0</v>
      </c>
      <c r="N23" s="9"/>
      <c r="P23" s="14"/>
      <c r="AD23" s="14">
        <f t="shared" si="7"/>
        <v>100</v>
      </c>
    </row>
    <row r="24" spans="1:30" ht="15">
      <c r="A24" s="581">
        <v>14</v>
      </c>
      <c r="B24" s="586" t="s">
        <v>740</v>
      </c>
      <c r="C24" s="588">
        <v>386</v>
      </c>
      <c r="D24" s="588">
        <v>0</v>
      </c>
      <c r="E24" s="588">
        <v>0</v>
      </c>
      <c r="F24" s="588">
        <v>2</v>
      </c>
      <c r="G24" s="590">
        <f t="shared" si="1"/>
        <v>388</v>
      </c>
      <c r="H24" s="291">
        <f t="shared" si="2"/>
        <v>386</v>
      </c>
      <c r="I24" s="291">
        <f t="shared" si="3"/>
        <v>0</v>
      </c>
      <c r="J24" s="291">
        <f t="shared" si="4"/>
        <v>0</v>
      </c>
      <c r="K24" s="291">
        <f t="shared" si="5"/>
        <v>2</v>
      </c>
      <c r="L24" s="291">
        <f t="shared" si="8"/>
        <v>388</v>
      </c>
      <c r="M24" s="291">
        <f t="shared" si="0"/>
        <v>0</v>
      </c>
      <c r="N24" s="9"/>
      <c r="P24" s="14"/>
      <c r="AD24" s="14">
        <f t="shared" si="7"/>
        <v>100</v>
      </c>
    </row>
    <row r="25" spans="1:30" ht="15">
      <c r="A25" s="581">
        <v>15</v>
      </c>
      <c r="B25" s="586" t="s">
        <v>734</v>
      </c>
      <c r="C25" s="588">
        <v>450</v>
      </c>
      <c r="D25" s="588">
        <v>0</v>
      </c>
      <c r="E25" s="588">
        <v>0</v>
      </c>
      <c r="F25" s="588">
        <v>0</v>
      </c>
      <c r="G25" s="590">
        <f t="shared" si="1"/>
        <v>450</v>
      </c>
      <c r="H25" s="291">
        <f t="shared" si="2"/>
        <v>450</v>
      </c>
      <c r="I25" s="291">
        <f t="shared" si="3"/>
        <v>0</v>
      </c>
      <c r="J25" s="291">
        <f t="shared" si="4"/>
        <v>0</v>
      </c>
      <c r="K25" s="291">
        <f t="shared" si="5"/>
        <v>0</v>
      </c>
      <c r="L25" s="291">
        <f t="shared" si="8"/>
        <v>450</v>
      </c>
      <c r="M25" s="291">
        <f t="shared" si="0"/>
        <v>0</v>
      </c>
      <c r="N25" s="9"/>
      <c r="P25" s="14"/>
      <c r="AD25" s="14">
        <f t="shared" si="7"/>
        <v>100</v>
      </c>
    </row>
    <row r="26" spans="1:30" ht="15">
      <c r="A26" s="581">
        <v>16</v>
      </c>
      <c r="B26" s="586" t="s">
        <v>741</v>
      </c>
      <c r="C26" s="588">
        <v>636</v>
      </c>
      <c r="D26" s="588">
        <v>2</v>
      </c>
      <c r="E26" s="588">
        <v>0</v>
      </c>
      <c r="F26" s="588">
        <v>0</v>
      </c>
      <c r="G26" s="590">
        <f t="shared" si="1"/>
        <v>638</v>
      </c>
      <c r="H26" s="291">
        <f t="shared" si="2"/>
        <v>636</v>
      </c>
      <c r="I26" s="291">
        <f t="shared" si="3"/>
        <v>2</v>
      </c>
      <c r="J26" s="291">
        <f t="shared" si="4"/>
        <v>0</v>
      </c>
      <c r="K26" s="291">
        <f t="shared" si="5"/>
        <v>0</v>
      </c>
      <c r="L26" s="291">
        <f t="shared" si="8"/>
        <v>638</v>
      </c>
      <c r="M26" s="291">
        <f t="shared" si="0"/>
        <v>0</v>
      </c>
      <c r="N26" s="9"/>
      <c r="P26" s="14"/>
      <c r="AD26" s="14">
        <f t="shared" si="7"/>
        <v>100</v>
      </c>
    </row>
    <row r="27" spans="1:30" ht="15">
      <c r="A27" s="581">
        <v>17</v>
      </c>
      <c r="B27" s="586" t="s">
        <v>733</v>
      </c>
      <c r="C27" s="588">
        <v>413</v>
      </c>
      <c r="D27" s="588">
        <v>3</v>
      </c>
      <c r="E27" s="588">
        <v>0</v>
      </c>
      <c r="F27" s="588">
        <v>1</v>
      </c>
      <c r="G27" s="590">
        <f t="shared" si="1"/>
        <v>417</v>
      </c>
      <c r="H27" s="291">
        <f t="shared" si="2"/>
        <v>413</v>
      </c>
      <c r="I27" s="291">
        <f t="shared" si="3"/>
        <v>3</v>
      </c>
      <c r="J27" s="291">
        <f t="shared" si="4"/>
        <v>0</v>
      </c>
      <c r="K27" s="291">
        <f t="shared" si="5"/>
        <v>1</v>
      </c>
      <c r="L27" s="291">
        <f t="shared" si="8"/>
        <v>417</v>
      </c>
      <c r="M27" s="291">
        <f t="shared" si="0"/>
        <v>0</v>
      </c>
      <c r="N27" s="9"/>
      <c r="P27" s="14"/>
      <c r="AD27" s="14">
        <f t="shared" si="7"/>
        <v>100</v>
      </c>
    </row>
    <row r="28" spans="1:30" ht="15">
      <c r="A28" s="581">
        <v>18</v>
      </c>
      <c r="B28" s="586" t="s">
        <v>735</v>
      </c>
      <c r="C28" s="588">
        <v>775</v>
      </c>
      <c r="D28" s="588">
        <v>15</v>
      </c>
      <c r="E28" s="588">
        <v>0</v>
      </c>
      <c r="F28" s="588">
        <v>0</v>
      </c>
      <c r="G28" s="590">
        <f t="shared" si="1"/>
        <v>790</v>
      </c>
      <c r="H28" s="291">
        <f t="shared" si="2"/>
        <v>775</v>
      </c>
      <c r="I28" s="291">
        <f t="shared" si="3"/>
        <v>15</v>
      </c>
      <c r="J28" s="291">
        <f t="shared" si="4"/>
        <v>0</v>
      </c>
      <c r="K28" s="291">
        <f t="shared" si="5"/>
        <v>0</v>
      </c>
      <c r="L28" s="291">
        <f t="shared" si="8"/>
        <v>790</v>
      </c>
      <c r="M28" s="291">
        <f t="shared" si="0"/>
        <v>0</v>
      </c>
      <c r="N28" s="9"/>
      <c r="P28" s="14"/>
      <c r="AD28" s="14">
        <f t="shared" si="7"/>
        <v>100</v>
      </c>
    </row>
    <row r="29" spans="1:30" ht="15">
      <c r="A29" s="581">
        <v>19</v>
      </c>
      <c r="B29" s="586" t="s">
        <v>732</v>
      </c>
      <c r="C29" s="588">
        <v>520</v>
      </c>
      <c r="D29" s="588">
        <v>3</v>
      </c>
      <c r="E29" s="588">
        <v>1</v>
      </c>
      <c r="F29" s="588">
        <v>1</v>
      </c>
      <c r="G29" s="590">
        <f t="shared" si="1"/>
        <v>525</v>
      </c>
      <c r="H29" s="291">
        <f t="shared" si="2"/>
        <v>520</v>
      </c>
      <c r="I29" s="291">
        <f t="shared" si="3"/>
        <v>3</v>
      </c>
      <c r="J29" s="291">
        <f t="shared" si="4"/>
        <v>1</v>
      </c>
      <c r="K29" s="291">
        <f t="shared" si="5"/>
        <v>1</v>
      </c>
      <c r="L29" s="291">
        <f t="shared" si="8"/>
        <v>525</v>
      </c>
      <c r="M29" s="291">
        <f t="shared" si="0"/>
        <v>0</v>
      </c>
      <c r="N29" s="9"/>
      <c r="P29" s="14"/>
      <c r="AD29" s="14">
        <f t="shared" si="7"/>
        <v>100</v>
      </c>
    </row>
    <row r="30" spans="1:30" ht="15">
      <c r="A30" s="581">
        <v>20</v>
      </c>
      <c r="B30" s="586" t="s">
        <v>836</v>
      </c>
      <c r="C30" s="588">
        <v>466</v>
      </c>
      <c r="D30" s="588">
        <v>47</v>
      </c>
      <c r="E30" s="588">
        <v>0</v>
      </c>
      <c r="F30" s="588">
        <v>7</v>
      </c>
      <c r="G30" s="590">
        <f t="shared" si="1"/>
        <v>520</v>
      </c>
      <c r="H30" s="291">
        <f t="shared" si="2"/>
        <v>466</v>
      </c>
      <c r="I30" s="291">
        <f t="shared" si="3"/>
        <v>47</v>
      </c>
      <c r="J30" s="291">
        <f t="shared" si="4"/>
        <v>0</v>
      </c>
      <c r="K30" s="291">
        <f t="shared" si="5"/>
        <v>7</v>
      </c>
      <c r="L30" s="291">
        <f t="shared" si="8"/>
        <v>520</v>
      </c>
      <c r="M30" s="291">
        <f t="shared" si="0"/>
        <v>0</v>
      </c>
      <c r="N30" s="9"/>
      <c r="P30" s="14"/>
      <c r="AD30" s="14">
        <f t="shared" si="7"/>
        <v>100</v>
      </c>
    </row>
    <row r="31" spans="1:30" ht="15">
      <c r="A31" s="581">
        <v>21</v>
      </c>
      <c r="B31" s="586" t="s">
        <v>729</v>
      </c>
      <c r="C31" s="588">
        <v>493</v>
      </c>
      <c r="D31" s="588">
        <v>1</v>
      </c>
      <c r="E31" s="588">
        <v>0</v>
      </c>
      <c r="F31" s="588">
        <v>1</v>
      </c>
      <c r="G31" s="590">
        <f t="shared" si="1"/>
        <v>495</v>
      </c>
      <c r="H31" s="291">
        <f t="shared" si="2"/>
        <v>493</v>
      </c>
      <c r="I31" s="291">
        <f t="shared" si="3"/>
        <v>1</v>
      </c>
      <c r="J31" s="291">
        <f t="shared" si="4"/>
        <v>0</v>
      </c>
      <c r="K31" s="291">
        <f t="shared" si="5"/>
        <v>1</v>
      </c>
      <c r="L31" s="291">
        <f t="shared" si="8"/>
        <v>495</v>
      </c>
      <c r="M31" s="291">
        <f t="shared" si="0"/>
        <v>0</v>
      </c>
      <c r="N31" s="9"/>
      <c r="P31" s="14"/>
      <c r="AD31" s="14">
        <f t="shared" si="7"/>
        <v>100</v>
      </c>
    </row>
    <row r="32" spans="1:30" ht="15">
      <c r="A32" s="581">
        <v>22</v>
      </c>
      <c r="B32" s="586" t="s">
        <v>746</v>
      </c>
      <c r="C32" s="588">
        <v>492</v>
      </c>
      <c r="D32" s="588">
        <v>7</v>
      </c>
      <c r="E32" s="588">
        <v>2</v>
      </c>
      <c r="F32" s="588">
        <v>0</v>
      </c>
      <c r="G32" s="590">
        <f t="shared" si="1"/>
        <v>501</v>
      </c>
      <c r="H32" s="291">
        <f t="shared" si="2"/>
        <v>492</v>
      </c>
      <c r="I32" s="291">
        <f t="shared" si="3"/>
        <v>7</v>
      </c>
      <c r="J32" s="291">
        <f t="shared" si="4"/>
        <v>2</v>
      </c>
      <c r="K32" s="291">
        <f t="shared" si="5"/>
        <v>0</v>
      </c>
      <c r="L32" s="291">
        <f t="shared" si="8"/>
        <v>501</v>
      </c>
      <c r="M32" s="291">
        <f t="shared" si="0"/>
        <v>0</v>
      </c>
      <c r="N32" s="9"/>
      <c r="P32" s="14"/>
      <c r="AD32" s="14">
        <f t="shared" si="7"/>
        <v>100</v>
      </c>
    </row>
    <row r="33" spans="1:30" ht="15">
      <c r="A33" s="581">
        <v>23</v>
      </c>
      <c r="B33" s="586" t="s">
        <v>738</v>
      </c>
      <c r="C33" s="588">
        <v>446</v>
      </c>
      <c r="D33" s="588">
        <v>5</v>
      </c>
      <c r="E33" s="588">
        <v>0</v>
      </c>
      <c r="F33" s="588">
        <v>1</v>
      </c>
      <c r="G33" s="590">
        <f t="shared" si="1"/>
        <v>452</v>
      </c>
      <c r="H33" s="291">
        <f t="shared" si="2"/>
        <v>446</v>
      </c>
      <c r="I33" s="291">
        <f t="shared" si="3"/>
        <v>5</v>
      </c>
      <c r="J33" s="291">
        <f t="shared" si="4"/>
        <v>0</v>
      </c>
      <c r="K33" s="291">
        <f t="shared" si="5"/>
        <v>1</v>
      </c>
      <c r="L33" s="291">
        <f t="shared" si="8"/>
        <v>452</v>
      </c>
      <c r="M33" s="291">
        <f t="shared" si="0"/>
        <v>0</v>
      </c>
      <c r="N33" s="9"/>
      <c r="P33" s="14"/>
      <c r="AD33" s="14">
        <f t="shared" si="7"/>
        <v>100</v>
      </c>
    </row>
    <row r="34" spans="1:30" ht="15">
      <c r="A34" s="581">
        <v>24</v>
      </c>
      <c r="B34" s="586" t="s">
        <v>730</v>
      </c>
      <c r="C34" s="588">
        <v>611</v>
      </c>
      <c r="D34" s="588">
        <v>1</v>
      </c>
      <c r="E34" s="588">
        <v>0</v>
      </c>
      <c r="F34" s="588">
        <v>3</v>
      </c>
      <c r="G34" s="590">
        <f t="shared" si="1"/>
        <v>615</v>
      </c>
      <c r="H34" s="291">
        <f t="shared" si="2"/>
        <v>611</v>
      </c>
      <c r="I34" s="291">
        <f t="shared" si="3"/>
        <v>1</v>
      </c>
      <c r="J34" s="291">
        <f t="shared" si="4"/>
        <v>0</v>
      </c>
      <c r="K34" s="291">
        <f t="shared" si="5"/>
        <v>3</v>
      </c>
      <c r="L34" s="291">
        <f t="shared" si="8"/>
        <v>615</v>
      </c>
      <c r="M34" s="291">
        <f t="shared" si="0"/>
        <v>0</v>
      </c>
      <c r="N34" s="9"/>
      <c r="P34" s="14"/>
      <c r="AD34" s="14">
        <f t="shared" si="7"/>
        <v>100</v>
      </c>
    </row>
    <row r="35" spans="1:30" ht="15">
      <c r="A35" s="581">
        <v>25</v>
      </c>
      <c r="B35" s="586" t="s">
        <v>736</v>
      </c>
      <c r="C35" s="588">
        <v>227</v>
      </c>
      <c r="D35" s="588">
        <v>9</v>
      </c>
      <c r="E35" s="588">
        <v>0</v>
      </c>
      <c r="F35" s="588">
        <v>1</v>
      </c>
      <c r="G35" s="590">
        <f t="shared" si="1"/>
        <v>237</v>
      </c>
      <c r="H35" s="291">
        <f t="shared" si="2"/>
        <v>227</v>
      </c>
      <c r="I35" s="291">
        <f t="shared" si="3"/>
        <v>9</v>
      </c>
      <c r="J35" s="291">
        <f t="shared" si="4"/>
        <v>0</v>
      </c>
      <c r="K35" s="291">
        <f t="shared" si="5"/>
        <v>1</v>
      </c>
      <c r="L35" s="291">
        <f t="shared" si="8"/>
        <v>237</v>
      </c>
      <c r="M35" s="291">
        <f t="shared" si="0"/>
        <v>0</v>
      </c>
      <c r="N35" s="9"/>
      <c r="P35" s="14"/>
      <c r="AD35" s="14">
        <f t="shared" si="7"/>
        <v>100</v>
      </c>
    </row>
    <row r="36" spans="1:30" ht="15">
      <c r="A36" s="581">
        <v>26</v>
      </c>
      <c r="B36" s="586" t="s">
        <v>744</v>
      </c>
      <c r="C36" s="588">
        <v>203</v>
      </c>
      <c r="D36" s="588">
        <v>4</v>
      </c>
      <c r="E36" s="588">
        <v>0</v>
      </c>
      <c r="F36" s="588">
        <v>0</v>
      </c>
      <c r="G36" s="590">
        <f t="shared" si="1"/>
        <v>207</v>
      </c>
      <c r="H36" s="291">
        <f t="shared" si="2"/>
        <v>203</v>
      </c>
      <c r="I36" s="291">
        <f t="shared" si="3"/>
        <v>4</v>
      </c>
      <c r="J36" s="291">
        <f t="shared" si="4"/>
        <v>0</v>
      </c>
      <c r="K36" s="291">
        <f t="shared" si="5"/>
        <v>0</v>
      </c>
      <c r="L36" s="291">
        <f t="shared" si="8"/>
        <v>207</v>
      </c>
      <c r="M36" s="291">
        <f t="shared" si="0"/>
        <v>0</v>
      </c>
      <c r="N36" s="9"/>
      <c r="P36" s="14"/>
      <c r="AD36" s="14">
        <f t="shared" si="7"/>
        <v>100</v>
      </c>
    </row>
    <row r="37" spans="1:30" ht="15">
      <c r="A37" s="581">
        <v>27</v>
      </c>
      <c r="B37" s="586" t="s">
        <v>745</v>
      </c>
      <c r="C37" s="588">
        <v>273</v>
      </c>
      <c r="D37" s="588">
        <v>2</v>
      </c>
      <c r="E37" s="588">
        <v>0</v>
      </c>
      <c r="F37" s="588">
        <v>0</v>
      </c>
      <c r="G37" s="590">
        <f t="shared" si="1"/>
        <v>275</v>
      </c>
      <c r="H37" s="291">
        <f t="shared" si="2"/>
        <v>273</v>
      </c>
      <c r="I37" s="291">
        <f t="shared" si="3"/>
        <v>2</v>
      </c>
      <c r="J37" s="291">
        <f t="shared" si="4"/>
        <v>0</v>
      </c>
      <c r="K37" s="291">
        <f t="shared" si="5"/>
        <v>0</v>
      </c>
      <c r="L37" s="291">
        <f t="shared" si="8"/>
        <v>275</v>
      </c>
      <c r="M37" s="291">
        <f t="shared" si="0"/>
        <v>0</v>
      </c>
      <c r="N37" s="9"/>
      <c r="P37" s="14"/>
      <c r="AD37" s="14">
        <f t="shared" si="7"/>
        <v>100</v>
      </c>
    </row>
    <row r="38" spans="1:30" s="294" customFormat="1" ht="17.25" customHeight="1">
      <c r="A38" s="582"/>
      <c r="B38" s="587" t="s">
        <v>19</v>
      </c>
      <c r="C38" s="290">
        <f aca="true" t="shared" si="9" ref="C38:M38">SUM(C11:C37)</f>
        <v>13311</v>
      </c>
      <c r="D38" s="290">
        <f t="shared" si="9"/>
        <v>217</v>
      </c>
      <c r="E38" s="290">
        <f t="shared" si="9"/>
        <v>8</v>
      </c>
      <c r="F38" s="290">
        <f t="shared" si="9"/>
        <v>49</v>
      </c>
      <c r="G38" s="591">
        <f t="shared" si="9"/>
        <v>13585</v>
      </c>
      <c r="H38" s="496">
        <f t="shared" si="9"/>
        <v>13311</v>
      </c>
      <c r="I38" s="496">
        <f t="shared" si="9"/>
        <v>217</v>
      </c>
      <c r="J38" s="496">
        <f t="shared" si="9"/>
        <v>8</v>
      </c>
      <c r="K38" s="496">
        <f t="shared" si="9"/>
        <v>49</v>
      </c>
      <c r="L38" s="496">
        <f t="shared" si="9"/>
        <v>13585</v>
      </c>
      <c r="M38" s="496">
        <f t="shared" si="9"/>
        <v>0</v>
      </c>
      <c r="N38" s="9"/>
      <c r="P38" s="14"/>
      <c r="AD38" s="14">
        <f t="shared" si="7"/>
        <v>100</v>
      </c>
    </row>
    <row r="39" spans="1:14" ht="12.7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ht="12.75">
      <c r="A40" s="10" t="s">
        <v>8</v>
      </c>
    </row>
    <row r="41" ht="12.75">
      <c r="A41" t="s">
        <v>9</v>
      </c>
    </row>
    <row r="42" spans="1:14" ht="12.75">
      <c r="A42" t="s">
        <v>10</v>
      </c>
      <c r="K42" s="11" t="s">
        <v>11</v>
      </c>
      <c r="L42" s="11" t="s">
        <v>11</v>
      </c>
      <c r="M42" s="11"/>
      <c r="N42" s="11" t="s">
        <v>11</v>
      </c>
    </row>
    <row r="43" spans="1:12" ht="12.75">
      <c r="A43" s="15" t="s">
        <v>431</v>
      </c>
      <c r="J43" s="11"/>
      <c r="K43" s="11"/>
      <c r="L43" s="11"/>
    </row>
    <row r="44" spans="3:13" ht="12.75">
      <c r="C44" s="15" t="s">
        <v>432</v>
      </c>
      <c r="E44" s="12"/>
      <c r="F44" s="12"/>
      <c r="G44" s="12"/>
      <c r="H44" s="12"/>
      <c r="I44" s="12"/>
      <c r="J44" s="12"/>
      <c r="K44" s="12"/>
      <c r="L44" s="12"/>
      <c r="M44" s="12"/>
    </row>
    <row r="45" spans="5:14" ht="12.75"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5:14" ht="12.75"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5.75" customHeight="1">
      <c r="A47" s="13" t="s">
        <v>12</v>
      </c>
      <c r="B47" s="13"/>
      <c r="C47" s="13"/>
      <c r="D47" s="13"/>
      <c r="E47" s="13"/>
      <c r="F47" s="13"/>
      <c r="G47" s="13"/>
      <c r="H47" s="13"/>
      <c r="I47" s="14"/>
      <c r="J47" s="14"/>
      <c r="K47" s="881" t="s">
        <v>13</v>
      </c>
      <c r="L47" s="881"/>
      <c r="M47" s="83"/>
      <c r="N47" s="14"/>
    </row>
    <row r="48" spans="1:14" ht="15.75" customHeight="1">
      <c r="A48" s="362"/>
      <c r="B48" s="362"/>
      <c r="C48" s="362"/>
      <c r="D48" s="362"/>
      <c r="E48" s="362"/>
      <c r="F48" s="362"/>
      <c r="G48" s="362"/>
      <c r="H48" s="362"/>
      <c r="I48" s="83"/>
      <c r="J48" s="881" t="s">
        <v>14</v>
      </c>
      <c r="K48" s="881"/>
      <c r="L48" s="881"/>
      <c r="M48" s="881"/>
      <c r="N48" s="83"/>
    </row>
    <row r="49" spans="1:14" ht="15.75" customHeight="1">
      <c r="A49" s="362"/>
      <c r="B49" s="362"/>
      <c r="C49" s="362"/>
      <c r="D49" s="362"/>
      <c r="E49" s="362"/>
      <c r="F49" s="362"/>
      <c r="G49" s="362"/>
      <c r="H49" s="362"/>
      <c r="I49" s="881" t="s">
        <v>638</v>
      </c>
      <c r="J49" s="881"/>
      <c r="K49" s="881"/>
      <c r="L49" s="881"/>
      <c r="M49" s="881"/>
      <c r="N49" s="881"/>
    </row>
    <row r="50" spans="9:14" ht="12.75">
      <c r="I50" s="14"/>
      <c r="J50" s="14"/>
      <c r="K50" s="1" t="s">
        <v>84</v>
      </c>
      <c r="L50" s="1"/>
      <c r="M50" s="1"/>
      <c r="N50" s="1"/>
    </row>
    <row r="51" spans="1:14" ht="12.75">
      <c r="A51" s="965"/>
      <c r="B51" s="965"/>
      <c r="C51" s="965"/>
      <c r="D51" s="965"/>
      <c r="E51" s="965"/>
      <c r="F51" s="965"/>
      <c r="G51" s="965"/>
      <c r="H51" s="965"/>
      <c r="I51" s="965"/>
      <c r="J51" s="965"/>
      <c r="K51" s="965"/>
      <c r="L51" s="965"/>
      <c r="M51" s="965"/>
      <c r="N51" s="965"/>
    </row>
  </sheetData>
  <sheetProtection/>
  <mergeCells count="16">
    <mergeCell ref="A51:N51"/>
    <mergeCell ref="N8:N9"/>
    <mergeCell ref="A8:A9"/>
    <mergeCell ref="B8:B9"/>
    <mergeCell ref="C8:G8"/>
    <mergeCell ref="H8:L8"/>
    <mergeCell ref="M8:M9"/>
    <mergeCell ref="K47:L47"/>
    <mergeCell ref="J48:M48"/>
    <mergeCell ref="I49:N49"/>
    <mergeCell ref="A7:B7"/>
    <mergeCell ref="D1:J1"/>
    <mergeCell ref="A2:N2"/>
    <mergeCell ref="A3:N3"/>
    <mergeCell ref="A5:N5"/>
    <mergeCell ref="L7:N7"/>
  </mergeCells>
  <printOptions horizontalCentered="1"/>
  <pageMargins left="0.7086614173228347" right="0.7086614173228347" top="0.55" bottom="0" header="0.67" footer="0.31496062992125984"/>
  <pageSetup fitToHeight="1" fitToWidth="1"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S48"/>
  <sheetViews>
    <sheetView view="pageBreakPreview" zoomScale="70" zoomScaleSheetLayoutView="70" zoomScalePageLayoutView="0" workbookViewId="0" topLeftCell="E5">
      <selection activeCell="U18" sqref="U18"/>
    </sheetView>
  </sheetViews>
  <sheetFormatPr defaultColWidth="9.140625" defaultRowHeight="12.75"/>
  <cols>
    <col min="1" max="1" width="7.140625" style="15" customWidth="1"/>
    <col min="2" max="2" width="16.7109375" style="15" customWidth="1"/>
    <col min="3" max="3" width="10.28125" style="15" customWidth="1"/>
    <col min="4" max="4" width="9.28125" style="15" customWidth="1"/>
    <col min="5" max="6" width="9.140625" style="15" customWidth="1"/>
    <col min="7" max="7" width="11.7109375" style="15" customWidth="1"/>
    <col min="8" max="8" width="11.00390625" style="15" customWidth="1"/>
    <col min="9" max="9" width="9.7109375" style="15" customWidth="1"/>
    <col min="10" max="10" width="9.57421875" style="15" customWidth="1"/>
    <col min="11" max="11" width="11.7109375" style="15" customWidth="1"/>
    <col min="12" max="12" width="12.7109375" style="15" customWidth="1"/>
    <col min="13" max="13" width="13.421875" style="233" customWidth="1"/>
    <col min="14" max="14" width="12.140625" style="233" customWidth="1"/>
    <col min="15" max="15" width="10.140625" style="233" customWidth="1"/>
    <col min="16" max="16" width="10.00390625" style="233" customWidth="1"/>
    <col min="17" max="17" width="14.7109375" style="15" customWidth="1"/>
    <col min="18" max="16384" width="9.140625" style="15" customWidth="1"/>
  </cols>
  <sheetData>
    <row r="1" spans="15:17" ht="12.75" customHeight="1">
      <c r="O1" s="900" t="s">
        <v>60</v>
      </c>
      <c r="P1" s="900"/>
      <c r="Q1" s="900"/>
    </row>
    <row r="2" spans="1:16" ht="15">
      <c r="A2" s="969" t="s">
        <v>0</v>
      </c>
      <c r="B2" s="969"/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600"/>
      <c r="N2" s="600"/>
      <c r="O2" s="600"/>
      <c r="P2" s="600"/>
    </row>
    <row r="3" spans="1:16" ht="20.25">
      <c r="A3" s="902" t="s">
        <v>859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601"/>
      <c r="N3" s="601"/>
      <c r="O3" s="601"/>
      <c r="P3" s="601"/>
    </row>
    <row r="4" spans="13:16" ht="11.25" customHeight="1">
      <c r="M4" s="405"/>
      <c r="N4" s="405"/>
      <c r="O4" s="405"/>
      <c r="P4" s="405"/>
    </row>
    <row r="5" spans="1:12" ht="15.75">
      <c r="A5" s="971" t="s">
        <v>903</v>
      </c>
      <c r="B5" s="971"/>
      <c r="C5" s="971"/>
      <c r="D5" s="971"/>
      <c r="E5" s="971"/>
      <c r="F5" s="971"/>
      <c r="G5" s="971"/>
      <c r="H5" s="971"/>
      <c r="I5" s="971"/>
      <c r="J5" s="971"/>
      <c r="K5" s="971"/>
      <c r="L5" s="971"/>
    </row>
    <row r="7" spans="1:17" ht="17.25" customHeight="1">
      <c r="A7" s="972" t="s">
        <v>634</v>
      </c>
      <c r="B7" s="972"/>
      <c r="M7" s="961" t="s">
        <v>932</v>
      </c>
      <c r="N7" s="961"/>
      <c r="O7" s="961"/>
      <c r="P7" s="961"/>
      <c r="Q7" s="961"/>
    </row>
    <row r="8" spans="1:17" ht="19.5" customHeight="1">
      <c r="A8" s="871" t="s">
        <v>2</v>
      </c>
      <c r="B8" s="871" t="s">
        <v>3</v>
      </c>
      <c r="C8" s="904" t="s">
        <v>907</v>
      </c>
      <c r="D8" s="904"/>
      <c r="E8" s="904"/>
      <c r="F8" s="904"/>
      <c r="G8" s="904"/>
      <c r="H8" s="904" t="s">
        <v>853</v>
      </c>
      <c r="I8" s="904"/>
      <c r="J8" s="904"/>
      <c r="K8" s="904"/>
      <c r="L8" s="904"/>
      <c r="M8" s="871" t="s">
        <v>111</v>
      </c>
      <c r="N8" s="871"/>
      <c r="O8" s="871"/>
      <c r="P8" s="871"/>
      <c r="Q8" s="871"/>
    </row>
    <row r="9" spans="1:17" s="14" customFormat="1" ht="39" customHeight="1">
      <c r="A9" s="871"/>
      <c r="B9" s="871"/>
      <c r="C9" s="5" t="s">
        <v>231</v>
      </c>
      <c r="D9" s="5" t="s">
        <v>232</v>
      </c>
      <c r="E9" s="5" t="s">
        <v>353</v>
      </c>
      <c r="F9" s="5" t="s">
        <v>238</v>
      </c>
      <c r="G9" s="5" t="s">
        <v>123</v>
      </c>
      <c r="H9" s="5" t="s">
        <v>231</v>
      </c>
      <c r="I9" s="5" t="s">
        <v>232</v>
      </c>
      <c r="J9" s="5" t="s">
        <v>353</v>
      </c>
      <c r="K9" s="5" t="s">
        <v>238</v>
      </c>
      <c r="L9" s="5" t="s">
        <v>356</v>
      </c>
      <c r="M9" s="598" t="s">
        <v>231</v>
      </c>
      <c r="N9" s="598" t="s">
        <v>232</v>
      </c>
      <c r="O9" s="598" t="s">
        <v>353</v>
      </c>
      <c r="P9" s="598" t="s">
        <v>238</v>
      </c>
      <c r="Q9" s="5" t="s">
        <v>125</v>
      </c>
    </row>
    <row r="10" spans="1:17" s="66" customFormat="1" ht="12.75">
      <c r="A10" s="65">
        <v>1</v>
      </c>
      <c r="B10" s="65">
        <v>2</v>
      </c>
      <c r="C10" s="593">
        <v>3</v>
      </c>
      <c r="D10" s="593">
        <v>4</v>
      </c>
      <c r="E10" s="593">
        <v>5</v>
      </c>
      <c r="F10" s="593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02">
        <v>13</v>
      </c>
      <c r="N10" s="602">
        <v>14</v>
      </c>
      <c r="O10" s="602">
        <v>15</v>
      </c>
      <c r="P10" s="602">
        <v>16</v>
      </c>
      <c r="Q10" s="65">
        <v>17</v>
      </c>
    </row>
    <row r="11" spans="1:18" s="66" customFormat="1" ht="17.25">
      <c r="A11" s="581">
        <v>1</v>
      </c>
      <c r="B11" s="586" t="s">
        <v>898</v>
      </c>
      <c r="C11" s="588">
        <v>62964</v>
      </c>
      <c r="D11" s="588">
        <v>768</v>
      </c>
      <c r="E11" s="588">
        <v>0</v>
      </c>
      <c r="F11" s="588">
        <v>518</v>
      </c>
      <c r="G11" s="592">
        <f aca="true" t="shared" si="0" ref="G11:G37">SUM(C11:F11)</f>
        <v>64250</v>
      </c>
      <c r="H11" s="295">
        <v>50740</v>
      </c>
      <c r="I11" s="295">
        <v>600</v>
      </c>
      <c r="J11" s="295">
        <v>0</v>
      </c>
      <c r="K11" s="295">
        <v>394</v>
      </c>
      <c r="L11" s="295">
        <v>51734</v>
      </c>
      <c r="M11" s="605">
        <v>11416483</v>
      </c>
      <c r="N11" s="605">
        <v>134944</v>
      </c>
      <c r="O11" s="605">
        <v>0</v>
      </c>
      <c r="P11" s="605">
        <v>88638</v>
      </c>
      <c r="Q11" s="298">
        <f>SUM(M11:P11)</f>
        <v>11640065</v>
      </c>
      <c r="R11" s="703"/>
    </row>
    <row r="12" spans="1:18" s="66" customFormat="1" ht="17.25">
      <c r="A12" s="581">
        <v>2</v>
      </c>
      <c r="B12" s="586" t="s">
        <v>899</v>
      </c>
      <c r="C12" s="588">
        <v>71195</v>
      </c>
      <c r="D12" s="588">
        <v>2052</v>
      </c>
      <c r="E12" s="588">
        <v>0</v>
      </c>
      <c r="F12" s="588">
        <v>1606</v>
      </c>
      <c r="G12" s="592">
        <f t="shared" si="0"/>
        <v>74853</v>
      </c>
      <c r="H12" s="295">
        <v>56650</v>
      </c>
      <c r="I12" s="295">
        <v>1752</v>
      </c>
      <c r="J12" s="295">
        <v>0</v>
      </c>
      <c r="K12" s="295">
        <v>1131</v>
      </c>
      <c r="L12" s="295">
        <v>59533</v>
      </c>
      <c r="M12" s="605">
        <v>12859509</v>
      </c>
      <c r="N12" s="605">
        <v>397713</v>
      </c>
      <c r="O12" s="605">
        <v>0</v>
      </c>
      <c r="P12" s="605">
        <v>256833</v>
      </c>
      <c r="Q12" s="298">
        <f aca="true" t="shared" si="1" ref="Q12:Q37">SUM(M12:P12)</f>
        <v>13514055</v>
      </c>
      <c r="R12" s="703"/>
    </row>
    <row r="13" spans="1:18" s="66" customFormat="1" ht="17.25">
      <c r="A13" s="581">
        <v>3</v>
      </c>
      <c r="B13" s="586" t="s">
        <v>839</v>
      </c>
      <c r="C13" s="588">
        <v>56564</v>
      </c>
      <c r="D13" s="588">
        <v>2369</v>
      </c>
      <c r="E13" s="588">
        <v>0</v>
      </c>
      <c r="F13" s="588">
        <v>1462</v>
      </c>
      <c r="G13" s="592">
        <f t="shared" si="0"/>
        <v>60395</v>
      </c>
      <c r="H13" s="295">
        <v>43566</v>
      </c>
      <c r="I13" s="295">
        <v>2033</v>
      </c>
      <c r="J13" s="295">
        <v>0</v>
      </c>
      <c r="K13" s="295">
        <v>1191</v>
      </c>
      <c r="L13" s="295">
        <v>46790</v>
      </c>
      <c r="M13" s="605">
        <v>9802315</v>
      </c>
      <c r="N13" s="605">
        <v>457521</v>
      </c>
      <c r="O13" s="605">
        <v>0</v>
      </c>
      <c r="P13" s="605">
        <v>267899</v>
      </c>
      <c r="Q13" s="298">
        <f t="shared" si="1"/>
        <v>10527735</v>
      </c>
      <c r="R13" s="703"/>
    </row>
    <row r="14" spans="1:18" s="66" customFormat="1" ht="17.25">
      <c r="A14" s="581">
        <v>4</v>
      </c>
      <c r="B14" s="586" t="s">
        <v>743</v>
      </c>
      <c r="C14" s="588">
        <v>145481</v>
      </c>
      <c r="D14" s="588">
        <v>4472</v>
      </c>
      <c r="E14" s="588">
        <v>0</v>
      </c>
      <c r="F14" s="588">
        <v>713</v>
      </c>
      <c r="G14" s="592">
        <f t="shared" si="0"/>
        <v>150666</v>
      </c>
      <c r="H14" s="295">
        <v>111256</v>
      </c>
      <c r="I14" s="295">
        <v>3602</v>
      </c>
      <c r="J14" s="295">
        <v>0</v>
      </c>
      <c r="K14" s="295">
        <v>529</v>
      </c>
      <c r="L14" s="295">
        <v>115387</v>
      </c>
      <c r="M14" s="605">
        <v>25255074</v>
      </c>
      <c r="N14" s="605">
        <v>817694</v>
      </c>
      <c r="O14" s="605">
        <v>0</v>
      </c>
      <c r="P14" s="605">
        <v>120078</v>
      </c>
      <c r="Q14" s="298">
        <f>SUM(M14:P14)</f>
        <v>26192846</v>
      </c>
      <c r="R14" s="703"/>
    </row>
    <row r="15" spans="1:18" s="66" customFormat="1" ht="17.25">
      <c r="A15" s="581">
        <v>5</v>
      </c>
      <c r="B15" s="586" t="s">
        <v>748</v>
      </c>
      <c r="C15" s="588">
        <v>87404</v>
      </c>
      <c r="D15" s="588">
        <v>934</v>
      </c>
      <c r="E15" s="588">
        <v>0</v>
      </c>
      <c r="F15" s="588">
        <v>415</v>
      </c>
      <c r="G15" s="592">
        <f t="shared" si="0"/>
        <v>88753</v>
      </c>
      <c r="H15" s="295">
        <v>73019</v>
      </c>
      <c r="I15" s="295">
        <v>578</v>
      </c>
      <c r="J15" s="295">
        <v>0</v>
      </c>
      <c r="K15" s="295">
        <v>321</v>
      </c>
      <c r="L15" s="295">
        <v>73917</v>
      </c>
      <c r="M15" s="605">
        <v>16648324</v>
      </c>
      <c r="N15" s="605">
        <v>131768</v>
      </c>
      <c r="O15" s="605">
        <v>0</v>
      </c>
      <c r="P15" s="605">
        <v>73077</v>
      </c>
      <c r="Q15" s="298">
        <f t="shared" si="1"/>
        <v>16853169</v>
      </c>
      <c r="R15" s="703"/>
    </row>
    <row r="16" spans="1:18" s="66" customFormat="1" ht="17.25">
      <c r="A16" s="581">
        <v>6</v>
      </c>
      <c r="B16" s="586" t="s">
        <v>747</v>
      </c>
      <c r="C16" s="588">
        <v>113329</v>
      </c>
      <c r="D16" s="588">
        <v>431</v>
      </c>
      <c r="E16" s="588">
        <v>0</v>
      </c>
      <c r="F16" s="588">
        <v>302</v>
      </c>
      <c r="G16" s="592">
        <f t="shared" si="0"/>
        <v>114062</v>
      </c>
      <c r="H16" s="295">
        <v>95042</v>
      </c>
      <c r="I16" s="295">
        <v>301</v>
      </c>
      <c r="J16" s="295">
        <v>0</v>
      </c>
      <c r="K16" s="295">
        <v>189</v>
      </c>
      <c r="L16" s="295">
        <v>95531</v>
      </c>
      <c r="M16" s="605">
        <v>21574498</v>
      </c>
      <c r="N16" s="605">
        <v>68218</v>
      </c>
      <c r="O16" s="605">
        <v>0</v>
      </c>
      <c r="P16" s="605">
        <v>42872</v>
      </c>
      <c r="Q16" s="298">
        <f t="shared" si="1"/>
        <v>21685588</v>
      </c>
      <c r="R16" s="703"/>
    </row>
    <row r="17" spans="1:18" s="66" customFormat="1" ht="17.25">
      <c r="A17" s="581">
        <v>7</v>
      </c>
      <c r="B17" s="586" t="s">
        <v>737</v>
      </c>
      <c r="C17" s="588">
        <v>63341</v>
      </c>
      <c r="D17" s="588">
        <v>1444</v>
      </c>
      <c r="E17" s="588">
        <v>0</v>
      </c>
      <c r="F17" s="588">
        <v>677</v>
      </c>
      <c r="G17" s="592">
        <f t="shared" si="0"/>
        <v>65462</v>
      </c>
      <c r="H17" s="295">
        <v>53101</v>
      </c>
      <c r="I17" s="295">
        <v>1160</v>
      </c>
      <c r="J17" s="295">
        <v>0</v>
      </c>
      <c r="K17" s="295">
        <v>622</v>
      </c>
      <c r="L17" s="295">
        <v>54883</v>
      </c>
      <c r="M17" s="605">
        <v>12107035</v>
      </c>
      <c r="N17" s="605">
        <v>264492</v>
      </c>
      <c r="O17" s="605">
        <v>0</v>
      </c>
      <c r="P17" s="605">
        <v>141793</v>
      </c>
      <c r="Q17" s="298">
        <f t="shared" si="1"/>
        <v>12513320</v>
      </c>
      <c r="R17" s="703"/>
    </row>
    <row r="18" spans="1:18" s="66" customFormat="1" ht="17.25">
      <c r="A18" s="581">
        <v>8</v>
      </c>
      <c r="B18" s="586" t="s">
        <v>749</v>
      </c>
      <c r="C18" s="588">
        <v>97929</v>
      </c>
      <c r="D18" s="588">
        <v>2660</v>
      </c>
      <c r="E18" s="588">
        <v>0</v>
      </c>
      <c r="F18" s="588">
        <v>3870</v>
      </c>
      <c r="G18" s="592">
        <f t="shared" si="0"/>
        <v>104459</v>
      </c>
      <c r="H18" s="295">
        <v>74758</v>
      </c>
      <c r="I18" s="295">
        <v>2155</v>
      </c>
      <c r="J18" s="295">
        <v>0</v>
      </c>
      <c r="K18" s="295">
        <v>3518</v>
      </c>
      <c r="L18" s="295">
        <v>80431</v>
      </c>
      <c r="M18" s="605">
        <v>17044845</v>
      </c>
      <c r="N18" s="605">
        <v>491358</v>
      </c>
      <c r="O18" s="605">
        <v>0</v>
      </c>
      <c r="P18" s="605">
        <v>802031</v>
      </c>
      <c r="Q18" s="298">
        <f>SUM(M18:P18)</f>
        <v>18338234</v>
      </c>
      <c r="R18" s="703"/>
    </row>
    <row r="19" spans="1:18" s="66" customFormat="1" ht="17.25">
      <c r="A19" s="581">
        <v>9</v>
      </c>
      <c r="B19" s="586" t="s">
        <v>834</v>
      </c>
      <c r="C19" s="588">
        <v>68356</v>
      </c>
      <c r="D19" s="588">
        <v>1237</v>
      </c>
      <c r="E19" s="588">
        <v>42</v>
      </c>
      <c r="F19" s="588">
        <v>378</v>
      </c>
      <c r="G19" s="592">
        <f t="shared" si="0"/>
        <v>70013</v>
      </c>
      <c r="H19" s="295">
        <v>54935</v>
      </c>
      <c r="I19" s="295">
        <v>868</v>
      </c>
      <c r="J19" s="295">
        <v>41</v>
      </c>
      <c r="K19" s="295">
        <v>248</v>
      </c>
      <c r="L19" s="295">
        <v>56092</v>
      </c>
      <c r="M19" s="605">
        <v>12415412</v>
      </c>
      <c r="N19" s="605">
        <v>196071</v>
      </c>
      <c r="O19" s="605">
        <v>9229</v>
      </c>
      <c r="P19" s="605">
        <v>55974</v>
      </c>
      <c r="Q19" s="298">
        <f t="shared" si="1"/>
        <v>12676686</v>
      </c>
      <c r="R19" s="703"/>
    </row>
    <row r="20" spans="1:18" s="66" customFormat="1" ht="17.25">
      <c r="A20" s="581">
        <v>10</v>
      </c>
      <c r="B20" s="586" t="s">
        <v>739</v>
      </c>
      <c r="C20" s="588">
        <v>14495</v>
      </c>
      <c r="D20" s="588">
        <v>1236</v>
      </c>
      <c r="E20" s="588">
        <v>13</v>
      </c>
      <c r="F20" s="588">
        <v>0</v>
      </c>
      <c r="G20" s="592">
        <f t="shared" si="0"/>
        <v>15744</v>
      </c>
      <c r="H20" s="295">
        <v>13552</v>
      </c>
      <c r="I20" s="295">
        <v>1305</v>
      </c>
      <c r="J20" s="295">
        <v>12</v>
      </c>
      <c r="K20" s="295">
        <v>0</v>
      </c>
      <c r="L20" s="295">
        <v>14869</v>
      </c>
      <c r="M20" s="605">
        <v>3035603</v>
      </c>
      <c r="N20" s="605">
        <v>292251</v>
      </c>
      <c r="O20" s="605">
        <v>2769</v>
      </c>
      <c r="P20" s="605">
        <v>0</v>
      </c>
      <c r="Q20" s="298">
        <f t="shared" si="1"/>
        <v>3330623</v>
      </c>
      <c r="R20" s="703"/>
    </row>
    <row r="21" spans="1:18" s="66" customFormat="1" ht="17.25">
      <c r="A21" s="581">
        <v>11</v>
      </c>
      <c r="B21" s="586" t="s">
        <v>900</v>
      </c>
      <c r="C21" s="588">
        <v>26925</v>
      </c>
      <c r="D21" s="588">
        <v>254</v>
      </c>
      <c r="E21" s="588">
        <v>0</v>
      </c>
      <c r="F21" s="588">
        <v>36</v>
      </c>
      <c r="G21" s="592">
        <f t="shared" si="0"/>
        <v>27215</v>
      </c>
      <c r="H21" s="295">
        <v>23014</v>
      </c>
      <c r="I21" s="295">
        <v>263</v>
      </c>
      <c r="J21" s="295">
        <v>0</v>
      </c>
      <c r="K21" s="295">
        <v>30</v>
      </c>
      <c r="L21" s="295">
        <v>23307</v>
      </c>
      <c r="M21" s="605">
        <v>4763958</v>
      </c>
      <c r="N21" s="605">
        <v>54539</v>
      </c>
      <c r="O21" s="605">
        <v>0</v>
      </c>
      <c r="P21" s="605">
        <v>6154</v>
      </c>
      <c r="Q21" s="298">
        <f t="shared" si="1"/>
        <v>4824651</v>
      </c>
      <c r="R21" s="703"/>
    </row>
    <row r="22" spans="1:19" ht="17.25">
      <c r="A22" s="581">
        <v>12</v>
      </c>
      <c r="B22" s="586" t="s">
        <v>731</v>
      </c>
      <c r="C22" s="588">
        <v>54167</v>
      </c>
      <c r="D22" s="588">
        <v>0</v>
      </c>
      <c r="E22" s="588">
        <v>0</v>
      </c>
      <c r="F22" s="588">
        <v>133</v>
      </c>
      <c r="G22" s="592">
        <f t="shared" si="0"/>
        <v>54300</v>
      </c>
      <c r="H22" s="295">
        <v>48826</v>
      </c>
      <c r="I22" s="295">
        <v>0</v>
      </c>
      <c r="J22" s="295">
        <v>0</v>
      </c>
      <c r="K22" s="295">
        <v>117</v>
      </c>
      <c r="L22" s="295">
        <v>48943</v>
      </c>
      <c r="M22" s="19">
        <v>10839408</v>
      </c>
      <c r="N22" s="19">
        <v>0</v>
      </c>
      <c r="O22" s="19">
        <v>0</v>
      </c>
      <c r="P22" s="19">
        <v>25986</v>
      </c>
      <c r="Q22" s="298">
        <f t="shared" si="1"/>
        <v>10865394</v>
      </c>
      <c r="R22" s="370"/>
      <c r="S22" s="66"/>
    </row>
    <row r="23" spans="1:19" ht="17.25">
      <c r="A23" s="581">
        <v>13</v>
      </c>
      <c r="B23" s="586" t="s">
        <v>742</v>
      </c>
      <c r="C23" s="588">
        <v>49654</v>
      </c>
      <c r="D23" s="588">
        <v>439</v>
      </c>
      <c r="E23" s="588">
        <v>0</v>
      </c>
      <c r="F23" s="588">
        <v>38</v>
      </c>
      <c r="G23" s="592">
        <f t="shared" si="0"/>
        <v>50131</v>
      </c>
      <c r="H23" s="295">
        <v>48630</v>
      </c>
      <c r="I23" s="295">
        <v>377</v>
      </c>
      <c r="J23" s="295">
        <v>0</v>
      </c>
      <c r="K23" s="295">
        <v>37</v>
      </c>
      <c r="L23" s="295">
        <v>49043</v>
      </c>
      <c r="M23" s="19">
        <v>11282111</v>
      </c>
      <c r="N23" s="19">
        <v>87364</v>
      </c>
      <c r="O23" s="19">
        <v>0</v>
      </c>
      <c r="P23" s="19">
        <v>8582</v>
      </c>
      <c r="Q23" s="298">
        <f t="shared" si="1"/>
        <v>11378057</v>
      </c>
      <c r="R23" s="370"/>
      <c r="S23" s="66"/>
    </row>
    <row r="24" spans="1:19" ht="17.25">
      <c r="A24" s="581">
        <v>14</v>
      </c>
      <c r="B24" s="586" t="s">
        <v>740</v>
      </c>
      <c r="C24" s="588">
        <v>74618</v>
      </c>
      <c r="D24" s="588">
        <v>0</v>
      </c>
      <c r="E24" s="588">
        <v>0</v>
      </c>
      <c r="F24" s="588">
        <v>49</v>
      </c>
      <c r="G24" s="592">
        <f t="shared" si="0"/>
        <v>74667</v>
      </c>
      <c r="H24" s="295">
        <v>60988</v>
      </c>
      <c r="I24" s="295">
        <v>0</v>
      </c>
      <c r="J24" s="295">
        <v>0</v>
      </c>
      <c r="K24" s="295">
        <v>41</v>
      </c>
      <c r="L24" s="295">
        <v>61029</v>
      </c>
      <c r="M24" s="19">
        <v>13722346</v>
      </c>
      <c r="N24" s="19">
        <v>0</v>
      </c>
      <c r="O24" s="19">
        <v>0</v>
      </c>
      <c r="P24" s="19">
        <v>9242</v>
      </c>
      <c r="Q24" s="298">
        <f t="shared" si="1"/>
        <v>13731588</v>
      </c>
      <c r="R24" s="370"/>
      <c r="S24" s="66"/>
    </row>
    <row r="25" spans="1:19" ht="17.25">
      <c r="A25" s="581">
        <v>15</v>
      </c>
      <c r="B25" s="586" t="s">
        <v>734</v>
      </c>
      <c r="C25" s="588">
        <v>50233</v>
      </c>
      <c r="D25" s="588">
        <v>245</v>
      </c>
      <c r="E25" s="588">
        <v>0</v>
      </c>
      <c r="F25" s="588">
        <v>0</v>
      </c>
      <c r="G25" s="592">
        <f t="shared" si="0"/>
        <v>50478</v>
      </c>
      <c r="H25" s="295">
        <v>43034</v>
      </c>
      <c r="I25" s="295">
        <v>219</v>
      </c>
      <c r="J25" s="295">
        <v>0</v>
      </c>
      <c r="K25" s="295">
        <v>0</v>
      </c>
      <c r="L25" s="295">
        <v>43254</v>
      </c>
      <c r="M25" s="19">
        <v>9768807</v>
      </c>
      <c r="N25" s="19">
        <v>49761</v>
      </c>
      <c r="O25" s="19">
        <v>0</v>
      </c>
      <c r="P25" s="19">
        <v>0</v>
      </c>
      <c r="Q25" s="298">
        <f t="shared" si="1"/>
        <v>9818568</v>
      </c>
      <c r="R25" s="370"/>
      <c r="S25" s="66"/>
    </row>
    <row r="26" spans="1:19" ht="17.25">
      <c r="A26" s="581">
        <v>16</v>
      </c>
      <c r="B26" s="586" t="s">
        <v>741</v>
      </c>
      <c r="C26" s="588">
        <v>115848</v>
      </c>
      <c r="D26" s="588">
        <v>384</v>
      </c>
      <c r="E26" s="588">
        <v>0</v>
      </c>
      <c r="F26" s="588">
        <v>0</v>
      </c>
      <c r="G26" s="592">
        <f t="shared" si="0"/>
        <v>116232</v>
      </c>
      <c r="H26" s="295">
        <v>97208</v>
      </c>
      <c r="I26" s="295">
        <v>323</v>
      </c>
      <c r="J26" s="295">
        <v>0</v>
      </c>
      <c r="K26" s="295">
        <v>0</v>
      </c>
      <c r="L26" s="295">
        <v>97531</v>
      </c>
      <c r="M26" s="19">
        <v>22163357</v>
      </c>
      <c r="N26" s="19">
        <v>73732</v>
      </c>
      <c r="O26" s="19">
        <v>0</v>
      </c>
      <c r="P26" s="19">
        <v>0</v>
      </c>
      <c r="Q26" s="298">
        <f t="shared" si="1"/>
        <v>22237089</v>
      </c>
      <c r="R26" s="370"/>
      <c r="S26" s="66"/>
    </row>
    <row r="27" spans="1:19" ht="17.25">
      <c r="A27" s="581">
        <v>17</v>
      </c>
      <c r="B27" s="586" t="s">
        <v>733</v>
      </c>
      <c r="C27" s="588">
        <v>42263</v>
      </c>
      <c r="D27" s="588">
        <v>379</v>
      </c>
      <c r="E27" s="588">
        <v>28</v>
      </c>
      <c r="F27" s="588">
        <v>180</v>
      </c>
      <c r="G27" s="592">
        <f t="shared" si="0"/>
        <v>42850</v>
      </c>
      <c r="H27" s="295">
        <v>35370</v>
      </c>
      <c r="I27" s="295">
        <v>231</v>
      </c>
      <c r="J27" s="295">
        <v>24</v>
      </c>
      <c r="K27" s="295">
        <v>154</v>
      </c>
      <c r="L27" s="295">
        <v>35779</v>
      </c>
      <c r="M27" s="19">
        <v>8064422</v>
      </c>
      <c r="N27" s="19">
        <v>52701</v>
      </c>
      <c r="O27" s="19">
        <v>5476</v>
      </c>
      <c r="P27" s="19">
        <v>35091</v>
      </c>
      <c r="Q27" s="298">
        <f t="shared" si="1"/>
        <v>8157690</v>
      </c>
      <c r="R27" s="370"/>
      <c r="S27" s="66"/>
    </row>
    <row r="28" spans="1:19" ht="17.25">
      <c r="A28" s="581">
        <v>18</v>
      </c>
      <c r="B28" s="586" t="s">
        <v>735</v>
      </c>
      <c r="C28" s="588">
        <v>110683</v>
      </c>
      <c r="D28" s="588">
        <v>1670</v>
      </c>
      <c r="E28" s="588">
        <v>0</v>
      </c>
      <c r="F28" s="588">
        <v>108</v>
      </c>
      <c r="G28" s="592">
        <f t="shared" si="0"/>
        <v>112461</v>
      </c>
      <c r="H28" s="295">
        <v>85241</v>
      </c>
      <c r="I28" s="295">
        <v>822</v>
      </c>
      <c r="J28" s="295">
        <v>0</v>
      </c>
      <c r="K28" s="295">
        <v>67</v>
      </c>
      <c r="L28" s="295">
        <v>86130</v>
      </c>
      <c r="M28" s="19">
        <v>19008819</v>
      </c>
      <c r="N28" s="19">
        <v>183290</v>
      </c>
      <c r="O28" s="19">
        <v>0</v>
      </c>
      <c r="P28" s="19">
        <v>14835</v>
      </c>
      <c r="Q28" s="298">
        <f t="shared" si="1"/>
        <v>19206944</v>
      </c>
      <c r="R28" s="370"/>
      <c r="S28" s="66"/>
    </row>
    <row r="29" spans="1:19" ht="17.25">
      <c r="A29" s="581">
        <v>19</v>
      </c>
      <c r="B29" s="586" t="s">
        <v>732</v>
      </c>
      <c r="C29" s="588">
        <v>76565</v>
      </c>
      <c r="D29" s="588">
        <v>455</v>
      </c>
      <c r="E29" s="588">
        <v>112</v>
      </c>
      <c r="F29" s="588">
        <v>152</v>
      </c>
      <c r="G29" s="592">
        <f t="shared" si="0"/>
        <v>77284</v>
      </c>
      <c r="H29" s="295">
        <v>62301</v>
      </c>
      <c r="I29" s="295">
        <v>160</v>
      </c>
      <c r="J29" s="295">
        <v>106</v>
      </c>
      <c r="K29" s="295">
        <v>116</v>
      </c>
      <c r="L29" s="295">
        <v>62684</v>
      </c>
      <c r="M29" s="19">
        <v>13893156</v>
      </c>
      <c r="N29" s="19">
        <v>35759</v>
      </c>
      <c r="O29" s="19">
        <v>23657</v>
      </c>
      <c r="P29" s="19">
        <v>25928</v>
      </c>
      <c r="Q29" s="298">
        <f t="shared" si="1"/>
        <v>13978500</v>
      </c>
      <c r="R29" s="370"/>
      <c r="S29" s="66"/>
    </row>
    <row r="30" spans="1:19" ht="17.25">
      <c r="A30" s="581">
        <v>20</v>
      </c>
      <c r="B30" s="586" t="s">
        <v>836</v>
      </c>
      <c r="C30" s="588">
        <v>57354</v>
      </c>
      <c r="D30" s="588">
        <v>9588</v>
      </c>
      <c r="E30" s="588">
        <v>0</v>
      </c>
      <c r="F30" s="588">
        <v>657</v>
      </c>
      <c r="G30" s="592">
        <f t="shared" si="0"/>
        <v>67599</v>
      </c>
      <c r="H30" s="295">
        <v>51472</v>
      </c>
      <c r="I30" s="295">
        <v>8927</v>
      </c>
      <c r="J30" s="295">
        <v>0</v>
      </c>
      <c r="K30" s="295">
        <v>601</v>
      </c>
      <c r="L30" s="295">
        <v>60999</v>
      </c>
      <c r="M30" s="19">
        <v>11632598</v>
      </c>
      <c r="N30" s="19">
        <v>2017402</v>
      </c>
      <c r="O30" s="19">
        <v>0</v>
      </c>
      <c r="P30" s="19">
        <v>135855</v>
      </c>
      <c r="Q30" s="298">
        <f t="shared" si="1"/>
        <v>13785855</v>
      </c>
      <c r="R30" s="370"/>
      <c r="S30" s="66"/>
    </row>
    <row r="31" spans="1:19" ht="17.25">
      <c r="A31" s="581">
        <v>21</v>
      </c>
      <c r="B31" s="586" t="s">
        <v>729</v>
      </c>
      <c r="C31" s="588">
        <v>79417</v>
      </c>
      <c r="D31" s="588">
        <v>896</v>
      </c>
      <c r="E31" s="588">
        <v>8</v>
      </c>
      <c r="F31" s="588">
        <v>93</v>
      </c>
      <c r="G31" s="592">
        <f t="shared" si="0"/>
        <v>80414</v>
      </c>
      <c r="H31" s="295">
        <v>67950</v>
      </c>
      <c r="I31" s="295">
        <v>580</v>
      </c>
      <c r="J31" s="295">
        <v>8</v>
      </c>
      <c r="K31" s="295">
        <v>63</v>
      </c>
      <c r="L31" s="295">
        <v>68600</v>
      </c>
      <c r="M31" s="19">
        <v>15288719</v>
      </c>
      <c r="N31" s="19">
        <v>130413</v>
      </c>
      <c r="O31" s="19">
        <v>1846</v>
      </c>
      <c r="P31" s="19">
        <v>14128</v>
      </c>
      <c r="Q31" s="298">
        <f t="shared" si="1"/>
        <v>15435106</v>
      </c>
      <c r="R31" s="370"/>
      <c r="S31" s="66"/>
    </row>
    <row r="32" spans="1:19" ht="17.25">
      <c r="A32" s="581">
        <v>22</v>
      </c>
      <c r="B32" s="586" t="s">
        <v>746</v>
      </c>
      <c r="C32" s="588">
        <v>79324</v>
      </c>
      <c r="D32" s="588">
        <v>866</v>
      </c>
      <c r="E32" s="588">
        <v>91</v>
      </c>
      <c r="F32" s="588">
        <v>404</v>
      </c>
      <c r="G32" s="592">
        <f t="shared" si="0"/>
        <v>80685</v>
      </c>
      <c r="H32" s="295">
        <v>69019</v>
      </c>
      <c r="I32" s="295">
        <v>715</v>
      </c>
      <c r="J32" s="295">
        <v>85</v>
      </c>
      <c r="K32" s="295">
        <v>164</v>
      </c>
      <c r="L32" s="295">
        <v>69983</v>
      </c>
      <c r="M32" s="19">
        <v>15874421</v>
      </c>
      <c r="N32" s="19">
        <v>164502</v>
      </c>
      <c r="O32" s="19">
        <v>19495</v>
      </c>
      <c r="P32" s="19">
        <v>37739</v>
      </c>
      <c r="Q32" s="298">
        <f t="shared" si="1"/>
        <v>16096157</v>
      </c>
      <c r="R32" s="370"/>
      <c r="S32" s="66"/>
    </row>
    <row r="33" spans="1:19" ht="17.25">
      <c r="A33" s="581">
        <v>23</v>
      </c>
      <c r="B33" s="586" t="s">
        <v>738</v>
      </c>
      <c r="C33" s="588">
        <v>48014</v>
      </c>
      <c r="D33" s="588">
        <v>356</v>
      </c>
      <c r="E33" s="588">
        <v>0</v>
      </c>
      <c r="F33" s="588">
        <v>41</v>
      </c>
      <c r="G33" s="592">
        <f t="shared" si="0"/>
        <v>48411</v>
      </c>
      <c r="H33" s="295">
        <v>46864</v>
      </c>
      <c r="I33" s="295">
        <v>311</v>
      </c>
      <c r="J33" s="295">
        <v>0</v>
      </c>
      <c r="K33" s="295">
        <v>34</v>
      </c>
      <c r="L33" s="295">
        <v>47209</v>
      </c>
      <c r="M33" s="19">
        <v>10684888</v>
      </c>
      <c r="N33" s="19">
        <v>70958</v>
      </c>
      <c r="O33" s="19">
        <v>0</v>
      </c>
      <c r="P33" s="19">
        <v>7807</v>
      </c>
      <c r="Q33" s="298">
        <f t="shared" si="1"/>
        <v>10763653</v>
      </c>
      <c r="R33" s="370"/>
      <c r="S33" s="66"/>
    </row>
    <row r="34" spans="1:19" ht="17.25">
      <c r="A34" s="581">
        <v>24</v>
      </c>
      <c r="B34" s="586" t="s">
        <v>730</v>
      </c>
      <c r="C34" s="588">
        <v>54340</v>
      </c>
      <c r="D34" s="588">
        <v>51</v>
      </c>
      <c r="E34" s="588">
        <v>34</v>
      </c>
      <c r="F34" s="588">
        <v>53</v>
      </c>
      <c r="G34" s="592">
        <f t="shared" si="0"/>
        <v>54478</v>
      </c>
      <c r="H34" s="295">
        <v>51583</v>
      </c>
      <c r="I34" s="295">
        <v>47</v>
      </c>
      <c r="J34" s="295">
        <v>33</v>
      </c>
      <c r="K34" s="295">
        <v>38</v>
      </c>
      <c r="L34" s="295">
        <v>51701</v>
      </c>
      <c r="M34" s="19">
        <v>11760845</v>
      </c>
      <c r="N34" s="19">
        <v>10757</v>
      </c>
      <c r="O34" s="19">
        <v>7614</v>
      </c>
      <c r="P34" s="19">
        <v>8553</v>
      </c>
      <c r="Q34" s="298">
        <f t="shared" si="1"/>
        <v>11787769</v>
      </c>
      <c r="R34" s="370"/>
      <c r="S34" s="66"/>
    </row>
    <row r="35" spans="1:19" ht="17.25">
      <c r="A35" s="581">
        <v>25</v>
      </c>
      <c r="B35" s="586" t="s">
        <v>736</v>
      </c>
      <c r="C35" s="588">
        <v>24522</v>
      </c>
      <c r="D35" s="588">
        <v>1942</v>
      </c>
      <c r="E35" s="588">
        <v>17</v>
      </c>
      <c r="F35" s="588">
        <v>14</v>
      </c>
      <c r="G35" s="592">
        <f t="shared" si="0"/>
        <v>26495</v>
      </c>
      <c r="H35" s="295">
        <v>23421</v>
      </c>
      <c r="I35" s="295">
        <v>1818</v>
      </c>
      <c r="J35" s="295">
        <v>14</v>
      </c>
      <c r="K35" s="295">
        <v>10</v>
      </c>
      <c r="L35" s="295">
        <v>25263</v>
      </c>
      <c r="M35" s="19">
        <v>5340052</v>
      </c>
      <c r="N35" s="19">
        <v>414486</v>
      </c>
      <c r="O35" s="19">
        <v>3169</v>
      </c>
      <c r="P35" s="19">
        <v>2347</v>
      </c>
      <c r="Q35" s="298">
        <f t="shared" si="1"/>
        <v>5760054</v>
      </c>
      <c r="R35" s="370"/>
      <c r="S35" s="66"/>
    </row>
    <row r="36" spans="1:19" ht="17.25">
      <c r="A36" s="581">
        <v>26</v>
      </c>
      <c r="B36" s="586" t="s">
        <v>744</v>
      </c>
      <c r="C36" s="588">
        <v>28400</v>
      </c>
      <c r="D36" s="588">
        <v>799</v>
      </c>
      <c r="E36" s="588">
        <v>0</v>
      </c>
      <c r="F36" s="588">
        <v>0</v>
      </c>
      <c r="G36" s="592">
        <f t="shared" si="0"/>
        <v>29199</v>
      </c>
      <c r="H36" s="295">
        <v>26759</v>
      </c>
      <c r="I36" s="295">
        <v>725</v>
      </c>
      <c r="J36" s="295">
        <v>0</v>
      </c>
      <c r="K36" s="295">
        <v>0</v>
      </c>
      <c r="L36" s="295">
        <v>27484</v>
      </c>
      <c r="M36" s="19">
        <v>5485665</v>
      </c>
      <c r="N36" s="19">
        <v>148602</v>
      </c>
      <c r="O36" s="19">
        <v>0</v>
      </c>
      <c r="P36" s="19">
        <v>0</v>
      </c>
      <c r="Q36" s="298">
        <f t="shared" si="1"/>
        <v>5634267</v>
      </c>
      <c r="R36" s="370"/>
      <c r="S36" s="66"/>
    </row>
    <row r="37" spans="1:19" ht="17.25">
      <c r="A37" s="581">
        <v>27</v>
      </c>
      <c r="B37" s="586" t="s">
        <v>745</v>
      </c>
      <c r="C37" s="588">
        <v>68825</v>
      </c>
      <c r="D37" s="588">
        <v>190</v>
      </c>
      <c r="E37" s="588">
        <v>0</v>
      </c>
      <c r="F37" s="588">
        <v>111</v>
      </c>
      <c r="G37" s="592">
        <f t="shared" si="0"/>
        <v>69126</v>
      </c>
      <c r="H37" s="295">
        <v>56228</v>
      </c>
      <c r="I37" s="295">
        <v>176</v>
      </c>
      <c r="J37" s="295">
        <v>0</v>
      </c>
      <c r="K37" s="295">
        <v>100</v>
      </c>
      <c r="L37" s="295">
        <v>56504</v>
      </c>
      <c r="M37" s="19">
        <v>12819941</v>
      </c>
      <c r="N37" s="19">
        <v>40039</v>
      </c>
      <c r="O37" s="19">
        <v>0</v>
      </c>
      <c r="P37" s="19">
        <v>22857</v>
      </c>
      <c r="Q37" s="298">
        <f t="shared" si="1"/>
        <v>12882837</v>
      </c>
      <c r="R37" s="370"/>
      <c r="S37" s="66"/>
    </row>
    <row r="38" spans="1:17" ht="17.25">
      <c r="A38" s="296"/>
      <c r="B38" s="284" t="s">
        <v>19</v>
      </c>
      <c r="C38" s="594">
        <f>SUM(C11:C37)</f>
        <v>1822210</v>
      </c>
      <c r="D38" s="594">
        <f aca="true" t="shared" si="2" ref="D38:L38">SUM(D11:D37)</f>
        <v>36117</v>
      </c>
      <c r="E38" s="594">
        <f t="shared" si="2"/>
        <v>345</v>
      </c>
      <c r="F38" s="594">
        <f t="shared" si="2"/>
        <v>12010</v>
      </c>
      <c r="G38" s="295">
        <f t="shared" si="2"/>
        <v>1870682</v>
      </c>
      <c r="H38" s="295">
        <f t="shared" si="2"/>
        <v>1524527</v>
      </c>
      <c r="I38" s="295">
        <f t="shared" si="2"/>
        <v>30048</v>
      </c>
      <c r="J38" s="295">
        <f t="shared" si="2"/>
        <v>323</v>
      </c>
      <c r="K38" s="295">
        <f t="shared" si="2"/>
        <v>9715</v>
      </c>
      <c r="L38" s="295">
        <f t="shared" si="2"/>
        <v>1564610</v>
      </c>
      <c r="M38" s="603">
        <f>SUM(M11:M37)</f>
        <v>344552611</v>
      </c>
      <c r="N38" s="603">
        <f>SUM(N11:N37)</f>
        <v>6786335</v>
      </c>
      <c r="O38" s="603">
        <f>SUM(O11:O37)</f>
        <v>73255</v>
      </c>
      <c r="P38" s="603">
        <f>SUM(P11:P37)</f>
        <v>2204299</v>
      </c>
      <c r="Q38" s="295">
        <f>SUM(Q11:Q37)</f>
        <v>353616500</v>
      </c>
    </row>
    <row r="39" spans="1:4" ht="12.75">
      <c r="A39" s="10" t="s">
        <v>8</v>
      </c>
      <c r="B39"/>
      <c r="C39"/>
      <c r="D39"/>
    </row>
    <row r="40" spans="1:4" ht="12.75">
      <c r="A40" t="s">
        <v>9</v>
      </c>
      <c r="B40"/>
      <c r="C40"/>
      <c r="D40"/>
    </row>
    <row r="41" spans="1:12" ht="12.75">
      <c r="A41" t="s">
        <v>10</v>
      </c>
      <c r="B41"/>
      <c r="C41"/>
      <c r="D41"/>
      <c r="I41" s="11"/>
      <c r="J41" s="11"/>
      <c r="K41" s="11"/>
      <c r="L41" s="11"/>
    </row>
    <row r="42" spans="1:16" ht="12.75">
      <c r="A42" s="15" t="s">
        <v>431</v>
      </c>
      <c r="J42" s="11"/>
      <c r="K42" s="11"/>
      <c r="L42" s="11"/>
      <c r="M42" s="405"/>
      <c r="N42" s="405"/>
      <c r="O42" s="405"/>
      <c r="P42" s="405"/>
    </row>
    <row r="43" spans="3:16" ht="12.75">
      <c r="C43" s="15" t="s">
        <v>432</v>
      </c>
      <c r="E43" s="12"/>
      <c r="F43" s="12"/>
      <c r="G43" s="12"/>
      <c r="H43" s="12"/>
      <c r="I43" s="12"/>
      <c r="J43" s="12"/>
      <c r="K43" s="12"/>
      <c r="L43" s="12"/>
      <c r="M43" s="604"/>
      <c r="N43" s="405"/>
      <c r="O43" s="405"/>
      <c r="P43" s="405"/>
    </row>
    <row r="44" spans="1:17" ht="12.75" customHeight="1">
      <c r="A44" s="14" t="s">
        <v>12</v>
      </c>
      <c r="B44" s="14"/>
      <c r="C44" s="14"/>
      <c r="D44" s="14"/>
      <c r="E44" s="14"/>
      <c r="F44" s="14"/>
      <c r="G44" s="14"/>
      <c r="I44" s="14"/>
      <c r="L44" s="14"/>
      <c r="M44" s="240"/>
      <c r="N44" s="973" t="s">
        <v>13</v>
      </c>
      <c r="O44" s="973"/>
      <c r="P44" s="365"/>
      <c r="Q44" s="14"/>
    </row>
    <row r="45" spans="1:17" ht="12.7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973" t="s">
        <v>14</v>
      </c>
      <c r="N45" s="973"/>
      <c r="O45" s="973"/>
      <c r="P45" s="973"/>
      <c r="Q45" s="83"/>
    </row>
    <row r="46" spans="1:17" ht="12.7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81" t="s">
        <v>637</v>
      </c>
      <c r="M46" s="881"/>
      <c r="N46" s="881"/>
      <c r="O46" s="881"/>
      <c r="P46" s="881"/>
      <c r="Q46" s="881"/>
    </row>
    <row r="47" spans="1:17" ht="12.75">
      <c r="A47" s="14"/>
      <c r="B47" s="14"/>
      <c r="C47" s="14"/>
      <c r="D47" s="14"/>
      <c r="E47" s="14"/>
      <c r="F47" s="14"/>
      <c r="L47" s="14"/>
      <c r="M47" s="240"/>
      <c r="N47" s="597" t="s">
        <v>84</v>
      </c>
      <c r="O47" s="597"/>
      <c r="P47" s="597"/>
      <c r="Q47" s="1"/>
    </row>
    <row r="48" spans="1:12" ht="12.75">
      <c r="A48" s="970"/>
      <c r="B48" s="970"/>
      <c r="C48" s="970"/>
      <c r="D48" s="970"/>
      <c r="E48" s="970"/>
      <c r="F48" s="970"/>
      <c r="G48" s="970"/>
      <c r="H48" s="970"/>
      <c r="I48" s="970"/>
      <c r="J48" s="970"/>
      <c r="K48" s="970"/>
      <c r="L48" s="970"/>
    </row>
  </sheetData>
  <sheetProtection/>
  <mergeCells count="15">
    <mergeCell ref="A7:B7"/>
    <mergeCell ref="M7:Q7"/>
    <mergeCell ref="N44:O44"/>
    <mergeCell ref="M45:P45"/>
    <mergeCell ref="L46:Q46"/>
    <mergeCell ref="A48:L48"/>
    <mergeCell ref="O1:Q1"/>
    <mergeCell ref="A2:L2"/>
    <mergeCell ref="A3:L3"/>
    <mergeCell ref="A5:L5"/>
    <mergeCell ref="A8:A9"/>
    <mergeCell ref="B8:B9"/>
    <mergeCell ref="C8:G8"/>
    <mergeCell ref="H8:L8"/>
    <mergeCell ref="M8:Q8"/>
  </mergeCells>
  <printOptions horizontalCentered="1"/>
  <pageMargins left="0.7086614173228347" right="0.7086614173228347" top="0.44" bottom="0" header="0.6" footer="0.31496062992125984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Y49"/>
  <sheetViews>
    <sheetView view="pageBreakPreview" zoomScale="80" zoomScaleSheetLayoutView="80" zoomScalePageLayoutView="0" workbookViewId="0" topLeftCell="G9">
      <selection activeCell="AA23" sqref="AA23"/>
    </sheetView>
  </sheetViews>
  <sheetFormatPr defaultColWidth="9.140625" defaultRowHeight="12.75"/>
  <cols>
    <col min="1" max="1" width="7.140625" style="15" customWidth="1"/>
    <col min="2" max="2" width="15.00390625" style="15" customWidth="1"/>
    <col min="3" max="3" width="9.57421875" style="15" customWidth="1"/>
    <col min="4" max="4" width="9.28125" style="15" customWidth="1"/>
    <col min="5" max="5" width="9.140625" style="15" customWidth="1"/>
    <col min="6" max="6" width="9.8515625" style="15" customWidth="1"/>
    <col min="7" max="7" width="10.8515625" style="15" customWidth="1"/>
    <col min="8" max="8" width="10.28125" style="15" customWidth="1"/>
    <col min="9" max="9" width="10.8515625" style="15" customWidth="1"/>
    <col min="10" max="10" width="10.28125" style="15" customWidth="1"/>
    <col min="11" max="11" width="11.28125" style="15" customWidth="1"/>
    <col min="12" max="12" width="11.7109375" style="15" customWidth="1"/>
    <col min="13" max="13" width="12.57421875" style="15" customWidth="1"/>
    <col min="14" max="14" width="8.7109375" style="15" customWidth="1"/>
    <col min="15" max="15" width="8.8515625" style="15" customWidth="1"/>
    <col min="16" max="16" width="10.57421875" style="15" customWidth="1"/>
    <col min="17" max="17" width="11.00390625" style="15" customWidth="1"/>
    <col min="18" max="18" width="9.140625" style="15" customWidth="1"/>
    <col min="19" max="20" width="10.00390625" style="15" hidden="1" customWidth="1"/>
    <col min="21" max="23" width="0" style="15" hidden="1" customWidth="1"/>
    <col min="24" max="24" width="11.28125" style="15" hidden="1" customWidth="1"/>
    <col min="25" max="16384" width="9.140625" style="15" customWidth="1"/>
  </cols>
  <sheetData>
    <row r="1" spans="15:17" ht="12.75" customHeight="1">
      <c r="O1" s="900" t="s">
        <v>61</v>
      </c>
      <c r="P1" s="900"/>
      <c r="Q1" s="900"/>
    </row>
    <row r="2" spans="1:16" ht="15.75">
      <c r="A2" s="901" t="s">
        <v>0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44"/>
      <c r="N2" s="44"/>
      <c r="O2" s="44"/>
      <c r="P2" s="44"/>
    </row>
    <row r="3" spans="1:16" ht="20.25">
      <c r="A3" s="902" t="s">
        <v>859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43"/>
      <c r="N3" s="43"/>
      <c r="O3" s="43"/>
      <c r="P3" s="43"/>
    </row>
    <row r="4" ht="11.25" customHeight="1"/>
    <row r="5" spans="1:12" ht="15.75">
      <c r="A5" s="971" t="s">
        <v>351</v>
      </c>
      <c r="B5" s="971"/>
      <c r="C5" s="971"/>
      <c r="D5" s="971"/>
      <c r="E5" s="971"/>
      <c r="F5" s="971"/>
      <c r="G5" s="971"/>
      <c r="H5" s="971"/>
      <c r="I5" s="971"/>
      <c r="J5" s="971"/>
      <c r="K5" s="971"/>
      <c r="L5" s="971"/>
    </row>
    <row r="6" ht="6.75" customHeight="1"/>
    <row r="7" spans="1:18" ht="19.5" customHeight="1">
      <c r="A7" s="357" t="s">
        <v>634</v>
      </c>
      <c r="B7" s="357"/>
      <c r="N7" s="975" t="s">
        <v>932</v>
      </c>
      <c r="O7" s="975"/>
      <c r="P7" s="975"/>
      <c r="Q7" s="975"/>
      <c r="R7" s="100"/>
    </row>
    <row r="8" spans="1:25" s="14" customFormat="1" ht="29.25" customHeight="1">
      <c r="A8" s="871" t="s">
        <v>2</v>
      </c>
      <c r="B8" s="871" t="s">
        <v>3</v>
      </c>
      <c r="C8" s="904" t="s">
        <v>933</v>
      </c>
      <c r="D8" s="904"/>
      <c r="E8" s="904"/>
      <c r="F8" s="974"/>
      <c r="G8" s="974"/>
      <c r="H8" s="904" t="s">
        <v>854</v>
      </c>
      <c r="I8" s="904"/>
      <c r="J8" s="904"/>
      <c r="K8" s="904"/>
      <c r="L8" s="904"/>
      <c r="M8" s="894" t="s">
        <v>111</v>
      </c>
      <c r="N8" s="895"/>
      <c r="O8" s="895"/>
      <c r="P8" s="895"/>
      <c r="Q8" s="896"/>
      <c r="U8" s="894"/>
      <c r="V8" s="895"/>
      <c r="W8" s="895"/>
      <c r="X8" s="895"/>
      <c r="Y8" s="896"/>
    </row>
    <row r="9" spans="1:25" s="14" customFormat="1" ht="45" customHeight="1">
      <c r="A9" s="871"/>
      <c r="B9" s="871"/>
      <c r="C9" s="5" t="s">
        <v>231</v>
      </c>
      <c r="D9" s="5" t="s">
        <v>232</v>
      </c>
      <c r="E9" s="5" t="s">
        <v>353</v>
      </c>
      <c r="F9" s="7" t="s">
        <v>238</v>
      </c>
      <c r="G9" s="7" t="s">
        <v>123</v>
      </c>
      <c r="H9" s="5" t="s">
        <v>231</v>
      </c>
      <c r="I9" s="5" t="s">
        <v>232</v>
      </c>
      <c r="J9" s="5" t="s">
        <v>353</v>
      </c>
      <c r="K9" s="5" t="s">
        <v>238</v>
      </c>
      <c r="L9" s="5" t="s">
        <v>124</v>
      </c>
      <c r="M9" s="5" t="s">
        <v>231</v>
      </c>
      <c r="N9" s="5" t="s">
        <v>232</v>
      </c>
      <c r="O9" s="5" t="s">
        <v>353</v>
      </c>
      <c r="P9" s="7" t="s">
        <v>238</v>
      </c>
      <c r="Q9" s="5" t="s">
        <v>125</v>
      </c>
      <c r="R9" s="29"/>
      <c r="U9" s="5"/>
      <c r="V9" s="5"/>
      <c r="W9" s="5"/>
      <c r="X9" s="7"/>
      <c r="Y9" s="5"/>
    </row>
    <row r="10" spans="1:25" s="14" customFormat="1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497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495">
        <v>14</v>
      </c>
      <c r="O10" s="3">
        <v>15</v>
      </c>
      <c r="P10" s="2">
        <v>16</v>
      </c>
      <c r="Q10" s="2">
        <v>17</v>
      </c>
      <c r="U10" s="2"/>
      <c r="V10" s="495"/>
      <c r="W10" s="3"/>
      <c r="X10" s="2"/>
      <c r="Y10" s="2"/>
    </row>
    <row r="11" spans="1:24" s="14" customFormat="1" ht="15">
      <c r="A11" s="581">
        <v>1</v>
      </c>
      <c r="B11" s="586" t="s">
        <v>898</v>
      </c>
      <c r="C11" s="723">
        <v>37349</v>
      </c>
      <c r="D11" s="723">
        <v>450</v>
      </c>
      <c r="E11" s="723">
        <v>0</v>
      </c>
      <c r="F11" s="638">
        <v>175</v>
      </c>
      <c r="G11" s="640">
        <f>SUM(C11:F11)</f>
        <v>37974</v>
      </c>
      <c r="H11" s="19">
        <v>29174</v>
      </c>
      <c r="I11" s="19">
        <v>321</v>
      </c>
      <c r="J11" s="19">
        <v>0</v>
      </c>
      <c r="K11" s="19">
        <v>137</v>
      </c>
      <c r="L11" s="368">
        <f>SUM(H11:K11)</f>
        <v>29632</v>
      </c>
      <c r="M11" s="297">
        <v>6564301</v>
      </c>
      <c r="N11" s="297">
        <v>72180</v>
      </c>
      <c r="O11" s="29">
        <v>0</v>
      </c>
      <c r="P11" s="29">
        <v>30743</v>
      </c>
      <c r="Q11" s="297">
        <f aca="true" t="shared" si="0" ref="Q11:Q37">SUM(M11:P11)</f>
        <v>6667224</v>
      </c>
      <c r="T11" s="368">
        <f>ROUND(M11/146314572*211279476,0)</f>
        <v>9478906</v>
      </c>
      <c r="U11" s="14">
        <f>ROUND(N11/3382864*4884884,0)</f>
        <v>104229</v>
      </c>
      <c r="V11" s="14">
        <f>ROUND(O11/36678*52963,0)</f>
        <v>0</v>
      </c>
      <c r="W11" s="14">
        <f>ROUND(P11/255239*368567,0)</f>
        <v>44393</v>
      </c>
      <c r="X11" s="14">
        <v>6667224</v>
      </c>
    </row>
    <row r="12" spans="1:24" s="14" customFormat="1" ht="15">
      <c r="A12" s="581">
        <v>2</v>
      </c>
      <c r="B12" s="586" t="s">
        <v>899</v>
      </c>
      <c r="C12" s="723">
        <v>38583</v>
      </c>
      <c r="D12" s="723">
        <v>1906</v>
      </c>
      <c r="E12" s="723">
        <v>0</v>
      </c>
      <c r="F12" s="638">
        <v>591</v>
      </c>
      <c r="G12" s="640">
        <f aca="true" t="shared" si="1" ref="G12:G37">SUM(C12:F12)</f>
        <v>41080</v>
      </c>
      <c r="H12" s="19">
        <v>30201</v>
      </c>
      <c r="I12" s="19">
        <v>1703</v>
      </c>
      <c r="J12" s="19">
        <v>0</v>
      </c>
      <c r="K12" s="19">
        <v>406</v>
      </c>
      <c r="L12" s="368">
        <f aca="true" t="shared" si="2" ref="L12:L37">SUM(H12:K12)</f>
        <v>32310</v>
      </c>
      <c r="M12" s="297">
        <v>6855501</v>
      </c>
      <c r="N12" s="297">
        <v>386648</v>
      </c>
      <c r="O12" s="29">
        <v>0</v>
      </c>
      <c r="P12" s="29">
        <v>92184</v>
      </c>
      <c r="Q12" s="297">
        <f t="shared" si="0"/>
        <v>7334333</v>
      </c>
      <c r="T12" s="368">
        <f aca="true" t="shared" si="3" ref="T12:T37">ROUND(M12/146314572*211279476,0)</f>
        <v>9899401</v>
      </c>
      <c r="U12" s="14">
        <f aca="true" t="shared" si="4" ref="U12:U37">ROUND(N12/3382864*4884884,0)</f>
        <v>558323</v>
      </c>
      <c r="V12" s="14">
        <f aca="true" t="shared" si="5" ref="V12:V37">ROUND(O12/36678*52963,0)</f>
        <v>0</v>
      </c>
      <c r="W12" s="14">
        <f aca="true" t="shared" si="6" ref="W12:W37">ROUND(P12/255239*368567,0)</f>
        <v>133114</v>
      </c>
      <c r="X12" s="14">
        <v>7334333</v>
      </c>
    </row>
    <row r="13" spans="1:24" s="14" customFormat="1" ht="15">
      <c r="A13" s="581">
        <v>3</v>
      </c>
      <c r="B13" s="586" t="s">
        <v>839</v>
      </c>
      <c r="C13" s="723">
        <v>34742</v>
      </c>
      <c r="D13" s="723">
        <v>1838</v>
      </c>
      <c r="E13" s="723">
        <v>0</v>
      </c>
      <c r="F13" s="638">
        <v>45</v>
      </c>
      <c r="G13" s="640">
        <f t="shared" si="1"/>
        <v>36625</v>
      </c>
      <c r="H13" s="19">
        <v>26158</v>
      </c>
      <c r="I13" s="19">
        <v>1611</v>
      </c>
      <c r="J13" s="19">
        <v>0</v>
      </c>
      <c r="K13" s="19">
        <v>32</v>
      </c>
      <c r="L13" s="368">
        <f t="shared" si="2"/>
        <v>27801</v>
      </c>
      <c r="M13" s="297">
        <v>5885537</v>
      </c>
      <c r="N13" s="297">
        <v>362375</v>
      </c>
      <c r="O13" s="29">
        <v>0</v>
      </c>
      <c r="P13" s="29">
        <v>7282</v>
      </c>
      <c r="Q13" s="297">
        <f t="shared" si="0"/>
        <v>6255194</v>
      </c>
      <c r="T13" s="368">
        <f t="shared" si="3"/>
        <v>8498765</v>
      </c>
      <c r="U13" s="14">
        <f t="shared" si="4"/>
        <v>523273</v>
      </c>
      <c r="V13" s="14">
        <f t="shared" si="5"/>
        <v>0</v>
      </c>
      <c r="W13" s="14">
        <f t="shared" si="6"/>
        <v>10515</v>
      </c>
      <c r="X13" s="14">
        <v>6255195</v>
      </c>
    </row>
    <row r="14" spans="1:24" s="14" customFormat="1" ht="15">
      <c r="A14" s="581">
        <v>4</v>
      </c>
      <c r="B14" s="586" t="s">
        <v>743</v>
      </c>
      <c r="C14" s="723">
        <v>93557</v>
      </c>
      <c r="D14" s="723">
        <v>3254</v>
      </c>
      <c r="E14" s="723">
        <v>0</v>
      </c>
      <c r="F14" s="638">
        <v>67</v>
      </c>
      <c r="G14" s="640">
        <f t="shared" si="1"/>
        <v>96878</v>
      </c>
      <c r="H14" s="19">
        <v>71175</v>
      </c>
      <c r="I14" s="19">
        <v>2608</v>
      </c>
      <c r="J14" s="19">
        <v>0</v>
      </c>
      <c r="K14" s="19">
        <v>57</v>
      </c>
      <c r="L14" s="368">
        <f t="shared" si="2"/>
        <v>73840</v>
      </c>
      <c r="M14" s="297">
        <v>16156788</v>
      </c>
      <c r="N14" s="297">
        <v>591860</v>
      </c>
      <c r="O14" s="29">
        <v>0</v>
      </c>
      <c r="P14" s="29">
        <v>12985</v>
      </c>
      <c r="Q14" s="297">
        <f t="shared" si="0"/>
        <v>16761633</v>
      </c>
      <c r="T14" s="368">
        <f t="shared" si="3"/>
        <v>23330538</v>
      </c>
      <c r="U14" s="14">
        <f t="shared" si="4"/>
        <v>854651</v>
      </c>
      <c r="V14" s="14">
        <f t="shared" si="5"/>
        <v>0</v>
      </c>
      <c r="W14" s="14">
        <f t="shared" si="6"/>
        <v>18750</v>
      </c>
      <c r="X14" s="14">
        <v>16761633</v>
      </c>
    </row>
    <row r="15" spans="1:24" s="14" customFormat="1" ht="15">
      <c r="A15" s="581">
        <v>5</v>
      </c>
      <c r="B15" s="586" t="s">
        <v>748</v>
      </c>
      <c r="C15" s="723">
        <v>58764</v>
      </c>
      <c r="D15" s="723">
        <v>1311</v>
      </c>
      <c r="E15" s="723">
        <v>0</v>
      </c>
      <c r="F15" s="638">
        <v>84</v>
      </c>
      <c r="G15" s="640">
        <f t="shared" si="1"/>
        <v>60159</v>
      </c>
      <c r="H15" s="19">
        <v>46897</v>
      </c>
      <c r="I15" s="19">
        <v>948</v>
      </c>
      <c r="J15" s="19">
        <v>0</v>
      </c>
      <c r="K15" s="19">
        <v>74</v>
      </c>
      <c r="L15" s="368">
        <f t="shared" si="2"/>
        <v>47919</v>
      </c>
      <c r="M15" s="297">
        <v>10692337</v>
      </c>
      <c r="N15" s="297">
        <v>216301</v>
      </c>
      <c r="O15" s="29">
        <v>0</v>
      </c>
      <c r="P15" s="29">
        <v>16791</v>
      </c>
      <c r="Q15" s="297">
        <f t="shared" si="0"/>
        <v>10925429</v>
      </c>
      <c r="T15" s="368">
        <f t="shared" si="3"/>
        <v>15439825</v>
      </c>
      <c r="U15" s="14">
        <f t="shared" si="4"/>
        <v>312340</v>
      </c>
      <c r="V15" s="14">
        <f t="shared" si="5"/>
        <v>0</v>
      </c>
      <c r="W15" s="14">
        <f t="shared" si="6"/>
        <v>24246</v>
      </c>
      <c r="X15" s="14">
        <v>10925428</v>
      </c>
    </row>
    <row r="16" spans="1:24" s="14" customFormat="1" ht="15">
      <c r="A16" s="581">
        <v>6</v>
      </c>
      <c r="B16" s="586" t="s">
        <v>747</v>
      </c>
      <c r="C16" s="723">
        <v>74492</v>
      </c>
      <c r="D16" s="723">
        <v>403</v>
      </c>
      <c r="E16" s="723">
        <v>39</v>
      </c>
      <c r="F16" s="638">
        <v>112</v>
      </c>
      <c r="G16" s="640">
        <f t="shared" si="1"/>
        <v>75046</v>
      </c>
      <c r="H16" s="19">
        <v>65987</v>
      </c>
      <c r="I16" s="19">
        <v>309</v>
      </c>
      <c r="J16" s="19">
        <v>36</v>
      </c>
      <c r="K16" s="19">
        <v>62</v>
      </c>
      <c r="L16" s="368">
        <f t="shared" si="2"/>
        <v>66394</v>
      </c>
      <c r="M16" s="297">
        <v>14978907</v>
      </c>
      <c r="N16" s="297">
        <v>70323</v>
      </c>
      <c r="O16" s="29">
        <v>8105</v>
      </c>
      <c r="P16" s="29">
        <v>14076</v>
      </c>
      <c r="Q16" s="297">
        <f t="shared" si="0"/>
        <v>15071411</v>
      </c>
      <c r="T16" s="368">
        <f t="shared" si="3"/>
        <v>21629668</v>
      </c>
      <c r="U16" s="14">
        <f t="shared" si="4"/>
        <v>101547</v>
      </c>
      <c r="V16" s="14">
        <f t="shared" si="5"/>
        <v>11704</v>
      </c>
      <c r="W16" s="14">
        <f t="shared" si="6"/>
        <v>20326</v>
      </c>
      <c r="X16" s="14">
        <v>15071412</v>
      </c>
    </row>
    <row r="17" spans="1:24" s="14" customFormat="1" ht="15">
      <c r="A17" s="581">
        <v>7</v>
      </c>
      <c r="B17" s="586" t="s">
        <v>737</v>
      </c>
      <c r="C17" s="723">
        <v>46254</v>
      </c>
      <c r="D17" s="723">
        <v>698</v>
      </c>
      <c r="E17" s="723">
        <v>0</v>
      </c>
      <c r="F17" s="638">
        <v>310</v>
      </c>
      <c r="G17" s="640">
        <f t="shared" si="1"/>
        <v>47262</v>
      </c>
      <c r="H17" s="19">
        <v>37263</v>
      </c>
      <c r="I17" s="19">
        <v>529</v>
      </c>
      <c r="J17" s="19">
        <v>0</v>
      </c>
      <c r="K17" s="19">
        <v>257</v>
      </c>
      <c r="L17" s="368">
        <f t="shared" si="2"/>
        <v>38049</v>
      </c>
      <c r="M17" s="297">
        <v>8495955</v>
      </c>
      <c r="N17" s="297">
        <v>120598</v>
      </c>
      <c r="O17" s="29">
        <v>0</v>
      </c>
      <c r="P17" s="29">
        <v>58708</v>
      </c>
      <c r="Q17" s="297">
        <f t="shared" si="0"/>
        <v>8675261</v>
      </c>
      <c r="T17" s="368">
        <f t="shared" si="3"/>
        <v>12268231</v>
      </c>
      <c r="U17" s="14">
        <f t="shared" si="4"/>
        <v>174145</v>
      </c>
      <c r="V17" s="14">
        <f t="shared" si="5"/>
        <v>0</v>
      </c>
      <c r="W17" s="14">
        <f t="shared" si="6"/>
        <v>84775</v>
      </c>
      <c r="X17" s="14">
        <v>8675260</v>
      </c>
    </row>
    <row r="18" spans="1:24" s="14" customFormat="1" ht="15">
      <c r="A18" s="581">
        <v>8</v>
      </c>
      <c r="B18" s="586" t="s">
        <v>749</v>
      </c>
      <c r="C18" s="723">
        <v>70424</v>
      </c>
      <c r="D18" s="723">
        <v>2308</v>
      </c>
      <c r="E18" s="723">
        <v>119</v>
      </c>
      <c r="F18" s="638">
        <v>182</v>
      </c>
      <c r="G18" s="640">
        <f t="shared" si="1"/>
        <v>73033</v>
      </c>
      <c r="H18" s="19">
        <v>57016</v>
      </c>
      <c r="I18" s="19">
        <v>1858</v>
      </c>
      <c r="J18" s="19">
        <v>102</v>
      </c>
      <c r="K18" s="19">
        <v>158</v>
      </c>
      <c r="L18" s="368">
        <f t="shared" si="2"/>
        <v>59134</v>
      </c>
      <c r="M18" s="297">
        <v>12999605</v>
      </c>
      <c r="N18" s="297">
        <v>423572</v>
      </c>
      <c r="O18" s="29">
        <v>23280</v>
      </c>
      <c r="P18" s="29">
        <v>35985</v>
      </c>
      <c r="Q18" s="297">
        <f t="shared" si="0"/>
        <v>13482442</v>
      </c>
      <c r="T18" s="368">
        <f t="shared" si="3"/>
        <v>18771539</v>
      </c>
      <c r="U18" s="14">
        <f t="shared" si="4"/>
        <v>611642</v>
      </c>
      <c r="V18" s="14">
        <f t="shared" si="5"/>
        <v>33616</v>
      </c>
      <c r="W18" s="14">
        <f t="shared" si="6"/>
        <v>51963</v>
      </c>
      <c r="X18" s="14">
        <v>13482442</v>
      </c>
    </row>
    <row r="19" spans="1:24" s="14" customFormat="1" ht="15">
      <c r="A19" s="581">
        <v>9</v>
      </c>
      <c r="B19" s="586" t="s">
        <v>834</v>
      </c>
      <c r="C19" s="723">
        <v>37764</v>
      </c>
      <c r="D19" s="723">
        <v>688</v>
      </c>
      <c r="E19" s="723">
        <v>48</v>
      </c>
      <c r="F19" s="638">
        <v>23</v>
      </c>
      <c r="G19" s="640">
        <f t="shared" si="1"/>
        <v>38523</v>
      </c>
      <c r="H19" s="19">
        <v>30511</v>
      </c>
      <c r="I19" s="19">
        <v>565</v>
      </c>
      <c r="J19" s="19">
        <v>44</v>
      </c>
      <c r="K19" s="19">
        <v>19</v>
      </c>
      <c r="L19" s="368">
        <f t="shared" si="2"/>
        <v>31139</v>
      </c>
      <c r="M19" s="297">
        <v>6895319</v>
      </c>
      <c r="N19" s="297">
        <v>127613</v>
      </c>
      <c r="O19" s="29">
        <v>9942</v>
      </c>
      <c r="P19" s="29">
        <v>4205</v>
      </c>
      <c r="Q19" s="297">
        <f t="shared" si="0"/>
        <v>7037079</v>
      </c>
      <c r="T19" s="368">
        <f t="shared" si="3"/>
        <v>9956899</v>
      </c>
      <c r="U19" s="14">
        <f t="shared" si="4"/>
        <v>184274</v>
      </c>
      <c r="V19" s="14">
        <f t="shared" si="5"/>
        <v>14356</v>
      </c>
      <c r="W19" s="14">
        <f t="shared" si="6"/>
        <v>6072</v>
      </c>
      <c r="X19" s="14">
        <v>7037079</v>
      </c>
    </row>
    <row r="20" spans="1:24" s="14" customFormat="1" ht="15">
      <c r="A20" s="581">
        <v>10</v>
      </c>
      <c r="B20" s="586" t="s">
        <v>739</v>
      </c>
      <c r="C20" s="723">
        <v>6435</v>
      </c>
      <c r="D20" s="723">
        <v>577</v>
      </c>
      <c r="E20" s="723">
        <v>0</v>
      </c>
      <c r="F20" s="638">
        <v>0</v>
      </c>
      <c r="G20" s="640">
        <f t="shared" si="1"/>
        <v>7012</v>
      </c>
      <c r="H20" s="19">
        <v>5822</v>
      </c>
      <c r="I20" s="19">
        <v>554</v>
      </c>
      <c r="J20" s="19">
        <v>0</v>
      </c>
      <c r="K20" s="19">
        <v>0</v>
      </c>
      <c r="L20" s="368">
        <f t="shared" si="2"/>
        <v>6376</v>
      </c>
      <c r="M20" s="297">
        <v>1304305</v>
      </c>
      <c r="N20" s="297">
        <v>124006</v>
      </c>
      <c r="O20" s="29">
        <v>0</v>
      </c>
      <c r="P20" s="29">
        <v>0</v>
      </c>
      <c r="Q20" s="297">
        <f t="shared" si="0"/>
        <v>1428311</v>
      </c>
      <c r="T20" s="368">
        <f t="shared" si="3"/>
        <v>1883427</v>
      </c>
      <c r="U20" s="14">
        <f t="shared" si="4"/>
        <v>179066</v>
      </c>
      <c r="V20" s="14">
        <f t="shared" si="5"/>
        <v>0</v>
      </c>
      <c r="W20" s="14">
        <f t="shared" si="6"/>
        <v>0</v>
      </c>
      <c r="X20" s="14">
        <v>1428311</v>
      </c>
    </row>
    <row r="21" spans="1:24" s="14" customFormat="1" ht="15">
      <c r="A21" s="581">
        <v>11</v>
      </c>
      <c r="B21" s="586" t="s">
        <v>900</v>
      </c>
      <c r="C21" s="723">
        <v>8449</v>
      </c>
      <c r="D21" s="723">
        <v>95</v>
      </c>
      <c r="E21" s="723">
        <v>0</v>
      </c>
      <c r="F21" s="638">
        <v>0</v>
      </c>
      <c r="G21" s="640">
        <f t="shared" si="1"/>
        <v>8544</v>
      </c>
      <c r="H21" s="19">
        <v>7400</v>
      </c>
      <c r="I21" s="19">
        <v>97</v>
      </c>
      <c r="J21" s="19">
        <v>0</v>
      </c>
      <c r="K21" s="19">
        <v>0</v>
      </c>
      <c r="L21" s="368">
        <f t="shared" si="2"/>
        <v>7497</v>
      </c>
      <c r="M21" s="297">
        <v>1531934</v>
      </c>
      <c r="N21" s="297">
        <v>19982</v>
      </c>
      <c r="O21" s="29">
        <v>0</v>
      </c>
      <c r="P21" s="29">
        <v>0</v>
      </c>
      <c r="Q21" s="297">
        <f t="shared" si="0"/>
        <v>1551916</v>
      </c>
      <c r="T21" s="368">
        <f t="shared" si="3"/>
        <v>2212126</v>
      </c>
      <c r="U21" s="14">
        <f t="shared" si="4"/>
        <v>28854</v>
      </c>
      <c r="V21" s="14">
        <f t="shared" si="5"/>
        <v>0</v>
      </c>
      <c r="W21" s="14">
        <f t="shared" si="6"/>
        <v>0</v>
      </c>
      <c r="X21" s="14">
        <v>1551916</v>
      </c>
    </row>
    <row r="22" spans="1:25" ht="15">
      <c r="A22" s="581">
        <v>12</v>
      </c>
      <c r="B22" s="586" t="s">
        <v>731</v>
      </c>
      <c r="C22" s="723">
        <v>31642</v>
      </c>
      <c r="D22" s="723">
        <v>0</v>
      </c>
      <c r="E22" s="723">
        <v>0</v>
      </c>
      <c r="F22" s="638">
        <v>34</v>
      </c>
      <c r="G22" s="640">
        <f t="shared" si="1"/>
        <v>31676</v>
      </c>
      <c r="H22" s="19">
        <v>28109</v>
      </c>
      <c r="I22" s="19">
        <v>0</v>
      </c>
      <c r="J22" s="19">
        <v>0</v>
      </c>
      <c r="K22" s="19">
        <v>33</v>
      </c>
      <c r="L22" s="368">
        <f t="shared" si="2"/>
        <v>28142</v>
      </c>
      <c r="M22" s="297">
        <v>6240306</v>
      </c>
      <c r="N22" s="297">
        <v>0</v>
      </c>
      <c r="O22" s="19">
        <v>0</v>
      </c>
      <c r="P22" s="19">
        <v>7312</v>
      </c>
      <c r="Q22" s="297">
        <f t="shared" si="0"/>
        <v>6247618</v>
      </c>
      <c r="S22" s="14"/>
      <c r="T22" s="368">
        <f t="shared" si="3"/>
        <v>9011054</v>
      </c>
      <c r="U22" s="14">
        <f t="shared" si="4"/>
        <v>0</v>
      </c>
      <c r="V22" s="14">
        <f t="shared" si="5"/>
        <v>0</v>
      </c>
      <c r="W22" s="14">
        <f t="shared" si="6"/>
        <v>10559</v>
      </c>
      <c r="X22" s="14">
        <v>6247618</v>
      </c>
      <c r="Y22" s="14"/>
    </row>
    <row r="23" spans="1:25" ht="15">
      <c r="A23" s="581">
        <v>13</v>
      </c>
      <c r="B23" s="586" t="s">
        <v>742</v>
      </c>
      <c r="C23" s="723">
        <v>33127</v>
      </c>
      <c r="D23" s="723">
        <v>336</v>
      </c>
      <c r="E23" s="723">
        <v>0</v>
      </c>
      <c r="F23" s="638">
        <v>0</v>
      </c>
      <c r="G23" s="640">
        <f t="shared" si="1"/>
        <v>33463</v>
      </c>
      <c r="H23" s="19">
        <v>31318</v>
      </c>
      <c r="I23" s="19">
        <v>342</v>
      </c>
      <c r="J23" s="19">
        <v>0</v>
      </c>
      <c r="K23" s="19">
        <v>0</v>
      </c>
      <c r="L23" s="368">
        <f t="shared" si="2"/>
        <v>31660</v>
      </c>
      <c r="M23" s="297">
        <v>7265612</v>
      </c>
      <c r="N23" s="297">
        <v>79471</v>
      </c>
      <c r="O23" s="19">
        <v>0</v>
      </c>
      <c r="P23" s="19">
        <v>0</v>
      </c>
      <c r="Q23" s="297">
        <f t="shared" si="0"/>
        <v>7345083</v>
      </c>
      <c r="S23" s="14"/>
      <c r="T23" s="368">
        <f t="shared" si="3"/>
        <v>10491605</v>
      </c>
      <c r="U23" s="14">
        <f t="shared" si="4"/>
        <v>114757</v>
      </c>
      <c r="V23" s="14">
        <f t="shared" si="5"/>
        <v>0</v>
      </c>
      <c r="W23" s="14">
        <f t="shared" si="6"/>
        <v>0</v>
      </c>
      <c r="X23" s="14">
        <v>7345083</v>
      </c>
      <c r="Y23" s="14"/>
    </row>
    <row r="24" spans="1:25" ht="15">
      <c r="A24" s="581">
        <v>14</v>
      </c>
      <c r="B24" s="586" t="s">
        <v>740</v>
      </c>
      <c r="C24" s="723">
        <v>48912</v>
      </c>
      <c r="D24" s="723">
        <v>0</v>
      </c>
      <c r="E24" s="723">
        <v>0</v>
      </c>
      <c r="F24" s="638">
        <v>36</v>
      </c>
      <c r="G24" s="640">
        <f t="shared" si="1"/>
        <v>48948</v>
      </c>
      <c r="H24" s="19">
        <v>37384</v>
      </c>
      <c r="I24" s="19">
        <v>0</v>
      </c>
      <c r="J24" s="19">
        <v>0</v>
      </c>
      <c r="K24" s="19">
        <v>25</v>
      </c>
      <c r="L24" s="368">
        <f t="shared" si="2"/>
        <v>37409</v>
      </c>
      <c r="M24" s="297">
        <v>8411416</v>
      </c>
      <c r="N24" s="297">
        <v>0</v>
      </c>
      <c r="O24" s="19">
        <v>0</v>
      </c>
      <c r="P24" s="19">
        <v>5687</v>
      </c>
      <c r="Q24" s="297">
        <f t="shared" si="0"/>
        <v>8417103</v>
      </c>
      <c r="S24" s="14"/>
      <c r="T24" s="368">
        <f t="shared" si="3"/>
        <v>12146156</v>
      </c>
      <c r="U24" s="14">
        <f t="shared" si="4"/>
        <v>0</v>
      </c>
      <c r="V24" s="14">
        <f t="shared" si="5"/>
        <v>0</v>
      </c>
      <c r="W24" s="14">
        <f t="shared" si="6"/>
        <v>8212</v>
      </c>
      <c r="X24" s="14">
        <v>8417102</v>
      </c>
      <c r="Y24" s="14"/>
    </row>
    <row r="25" spans="1:25" ht="15">
      <c r="A25" s="581">
        <v>15</v>
      </c>
      <c r="B25" s="586" t="s">
        <v>734</v>
      </c>
      <c r="C25" s="723">
        <v>30817</v>
      </c>
      <c r="D25" s="723">
        <v>0</v>
      </c>
      <c r="E25" s="723">
        <v>0</v>
      </c>
      <c r="F25" s="638">
        <v>0</v>
      </c>
      <c r="G25" s="640">
        <f t="shared" si="1"/>
        <v>30817</v>
      </c>
      <c r="H25" s="19">
        <v>25096</v>
      </c>
      <c r="I25" s="19">
        <v>0</v>
      </c>
      <c r="J25" s="19">
        <v>0</v>
      </c>
      <c r="K25" s="19">
        <v>0</v>
      </c>
      <c r="L25" s="368">
        <f t="shared" si="2"/>
        <v>25096</v>
      </c>
      <c r="M25" s="297">
        <v>5696826</v>
      </c>
      <c r="N25" s="297">
        <v>0</v>
      </c>
      <c r="O25" s="19">
        <v>0</v>
      </c>
      <c r="P25" s="19">
        <v>0</v>
      </c>
      <c r="Q25" s="297">
        <f t="shared" si="0"/>
        <v>5696826</v>
      </c>
      <c r="S25" s="14"/>
      <c r="T25" s="368">
        <f t="shared" si="3"/>
        <v>8226265</v>
      </c>
      <c r="U25" s="14">
        <f t="shared" si="4"/>
        <v>0</v>
      </c>
      <c r="V25" s="14">
        <f t="shared" si="5"/>
        <v>0</v>
      </c>
      <c r="W25" s="14">
        <f t="shared" si="6"/>
        <v>0</v>
      </c>
      <c r="X25" s="14">
        <v>5696826</v>
      </c>
      <c r="Y25" s="14"/>
    </row>
    <row r="26" spans="1:25" ht="15">
      <c r="A26" s="581">
        <v>16</v>
      </c>
      <c r="B26" s="586" t="s">
        <v>741</v>
      </c>
      <c r="C26" s="723">
        <v>74798</v>
      </c>
      <c r="D26" s="723">
        <v>229</v>
      </c>
      <c r="E26" s="723">
        <v>0</v>
      </c>
      <c r="F26" s="638">
        <v>0</v>
      </c>
      <c r="G26" s="640">
        <f t="shared" si="1"/>
        <v>75027</v>
      </c>
      <c r="H26" s="19">
        <v>61676</v>
      </c>
      <c r="I26" s="19">
        <v>116</v>
      </c>
      <c r="J26" s="19">
        <v>0</v>
      </c>
      <c r="K26" s="19">
        <v>0</v>
      </c>
      <c r="L26" s="368">
        <f t="shared" si="2"/>
        <v>61792</v>
      </c>
      <c r="M26" s="297">
        <v>14061972</v>
      </c>
      <c r="N26" s="297">
        <v>26633</v>
      </c>
      <c r="O26" s="19">
        <v>0</v>
      </c>
      <c r="P26" s="19">
        <v>0</v>
      </c>
      <c r="Q26" s="297">
        <f t="shared" si="0"/>
        <v>14088605</v>
      </c>
      <c r="S26" s="14"/>
      <c r="T26" s="368">
        <f t="shared" si="3"/>
        <v>20305606</v>
      </c>
      <c r="U26" s="14">
        <f t="shared" si="4"/>
        <v>38458</v>
      </c>
      <c r="V26" s="14">
        <f t="shared" si="5"/>
        <v>0</v>
      </c>
      <c r="W26" s="14">
        <f t="shared" si="6"/>
        <v>0</v>
      </c>
      <c r="X26" s="14">
        <v>14088605</v>
      </c>
      <c r="Y26" s="14"/>
    </row>
    <row r="27" spans="1:25" ht="15">
      <c r="A27" s="581">
        <v>17</v>
      </c>
      <c r="B27" s="586" t="s">
        <v>733</v>
      </c>
      <c r="C27" s="723">
        <v>27873</v>
      </c>
      <c r="D27" s="723">
        <v>149</v>
      </c>
      <c r="E27" s="723">
        <v>0</v>
      </c>
      <c r="F27" s="638">
        <v>26</v>
      </c>
      <c r="G27" s="640">
        <f t="shared" si="1"/>
        <v>28048</v>
      </c>
      <c r="H27" s="19">
        <v>21993</v>
      </c>
      <c r="I27" s="19">
        <v>107</v>
      </c>
      <c r="J27" s="19">
        <v>0</v>
      </c>
      <c r="K27" s="19">
        <v>18</v>
      </c>
      <c r="L27" s="368">
        <f t="shared" si="2"/>
        <v>22118</v>
      </c>
      <c r="M27" s="297">
        <v>5014413</v>
      </c>
      <c r="N27" s="297">
        <v>24342</v>
      </c>
      <c r="O27" s="19">
        <v>0</v>
      </c>
      <c r="P27" s="19">
        <v>4087</v>
      </c>
      <c r="Q27" s="297">
        <f t="shared" si="0"/>
        <v>5042842</v>
      </c>
      <c r="S27" s="14"/>
      <c r="T27" s="368">
        <f t="shared" si="3"/>
        <v>7240855</v>
      </c>
      <c r="U27" s="14">
        <f t="shared" si="4"/>
        <v>35150</v>
      </c>
      <c r="V27" s="14">
        <f t="shared" si="5"/>
        <v>0</v>
      </c>
      <c r="W27" s="14">
        <f t="shared" si="6"/>
        <v>5902</v>
      </c>
      <c r="X27" s="14">
        <v>5042841</v>
      </c>
      <c r="Y27" s="14"/>
    </row>
    <row r="28" spans="1:25" ht="15">
      <c r="A28" s="581">
        <v>18</v>
      </c>
      <c r="B28" s="586" t="s">
        <v>735</v>
      </c>
      <c r="C28" s="723">
        <v>73292</v>
      </c>
      <c r="D28" s="723">
        <v>892</v>
      </c>
      <c r="E28" s="723">
        <v>0</v>
      </c>
      <c r="F28" s="638">
        <v>0</v>
      </c>
      <c r="G28" s="640">
        <f t="shared" si="1"/>
        <v>74184</v>
      </c>
      <c r="H28" s="19">
        <v>56269</v>
      </c>
      <c r="I28" s="19">
        <v>387</v>
      </c>
      <c r="J28" s="19">
        <v>0</v>
      </c>
      <c r="K28" s="19">
        <v>0</v>
      </c>
      <c r="L28" s="368">
        <f t="shared" si="2"/>
        <v>56656</v>
      </c>
      <c r="M28" s="297">
        <v>12548120</v>
      </c>
      <c r="N28" s="297">
        <v>86220</v>
      </c>
      <c r="O28" s="19">
        <v>0</v>
      </c>
      <c r="P28" s="19">
        <v>0</v>
      </c>
      <c r="Q28" s="297">
        <f t="shared" si="0"/>
        <v>12634340</v>
      </c>
      <c r="S28" s="14"/>
      <c r="T28" s="368">
        <f t="shared" si="3"/>
        <v>18119591</v>
      </c>
      <c r="U28" s="14">
        <f t="shared" si="4"/>
        <v>124502</v>
      </c>
      <c r="V28" s="14">
        <f t="shared" si="5"/>
        <v>0</v>
      </c>
      <c r="W28" s="14">
        <f t="shared" si="6"/>
        <v>0</v>
      </c>
      <c r="X28" s="14">
        <v>12634340</v>
      </c>
      <c r="Y28" s="14"/>
    </row>
    <row r="29" spans="1:25" ht="15">
      <c r="A29" s="581">
        <v>19</v>
      </c>
      <c r="B29" s="586" t="s">
        <v>732</v>
      </c>
      <c r="C29" s="723">
        <v>49722</v>
      </c>
      <c r="D29" s="723">
        <v>498</v>
      </c>
      <c r="E29" s="723">
        <v>27</v>
      </c>
      <c r="F29" s="638">
        <v>0</v>
      </c>
      <c r="G29" s="640">
        <f t="shared" si="1"/>
        <v>50247</v>
      </c>
      <c r="H29" s="19">
        <v>38471</v>
      </c>
      <c r="I29" s="19">
        <v>293</v>
      </c>
      <c r="J29" s="19">
        <v>26</v>
      </c>
      <c r="K29" s="19">
        <v>0</v>
      </c>
      <c r="L29" s="368">
        <f t="shared" si="2"/>
        <v>38790</v>
      </c>
      <c r="M29" s="297">
        <v>8579117</v>
      </c>
      <c r="N29" s="297">
        <v>65382</v>
      </c>
      <c r="O29" s="19">
        <v>5656</v>
      </c>
      <c r="P29" s="19">
        <v>0</v>
      </c>
      <c r="Q29" s="297">
        <f t="shared" si="0"/>
        <v>8650155</v>
      </c>
      <c r="S29" s="14"/>
      <c r="T29" s="368">
        <f t="shared" si="3"/>
        <v>12388317</v>
      </c>
      <c r="U29" s="14">
        <f t="shared" si="4"/>
        <v>94412</v>
      </c>
      <c r="V29" s="14">
        <f t="shared" si="5"/>
        <v>8167</v>
      </c>
      <c r="W29" s="14">
        <f t="shared" si="6"/>
        <v>0</v>
      </c>
      <c r="X29" s="14">
        <v>8650155</v>
      </c>
      <c r="Y29" s="14"/>
    </row>
    <row r="30" spans="1:25" ht="15">
      <c r="A30" s="581">
        <v>20</v>
      </c>
      <c r="B30" s="586" t="s">
        <v>836</v>
      </c>
      <c r="C30" s="723">
        <v>30710</v>
      </c>
      <c r="D30" s="723">
        <v>7892</v>
      </c>
      <c r="E30" s="723">
        <v>0</v>
      </c>
      <c r="F30" s="638">
        <v>289</v>
      </c>
      <c r="G30" s="640">
        <f t="shared" si="1"/>
        <v>38891</v>
      </c>
      <c r="H30" s="19">
        <v>26655</v>
      </c>
      <c r="I30" s="19">
        <v>6606</v>
      </c>
      <c r="J30" s="19">
        <v>0</v>
      </c>
      <c r="K30" s="19">
        <v>239</v>
      </c>
      <c r="L30" s="368">
        <f t="shared" si="2"/>
        <v>33500</v>
      </c>
      <c r="M30" s="297">
        <v>6024065</v>
      </c>
      <c r="N30" s="297">
        <v>1492871</v>
      </c>
      <c r="O30" s="19">
        <v>0</v>
      </c>
      <c r="P30" s="19">
        <v>54039</v>
      </c>
      <c r="Q30" s="297">
        <f t="shared" si="0"/>
        <v>7570975</v>
      </c>
      <c r="S30" s="14"/>
      <c r="T30" s="368">
        <f t="shared" si="3"/>
        <v>8698801</v>
      </c>
      <c r="U30" s="14">
        <f t="shared" si="4"/>
        <v>2155718</v>
      </c>
      <c r="V30" s="14">
        <f t="shared" si="5"/>
        <v>0</v>
      </c>
      <c r="W30" s="14">
        <f t="shared" si="6"/>
        <v>78033</v>
      </c>
      <c r="X30" s="14">
        <v>7570975</v>
      </c>
      <c r="Y30" s="14"/>
    </row>
    <row r="31" spans="1:25" ht="15">
      <c r="A31" s="581">
        <v>21</v>
      </c>
      <c r="B31" s="586" t="s">
        <v>729</v>
      </c>
      <c r="C31" s="723">
        <v>49165</v>
      </c>
      <c r="D31" s="723">
        <v>256</v>
      </c>
      <c r="E31" s="723">
        <v>0</v>
      </c>
      <c r="F31" s="638">
        <v>61</v>
      </c>
      <c r="G31" s="640">
        <f t="shared" si="1"/>
        <v>49482</v>
      </c>
      <c r="H31" s="19">
        <v>39882</v>
      </c>
      <c r="I31" s="19">
        <v>168</v>
      </c>
      <c r="J31" s="19">
        <v>0</v>
      </c>
      <c r="K31" s="19">
        <v>45</v>
      </c>
      <c r="L31" s="368">
        <f t="shared" si="2"/>
        <v>40095</v>
      </c>
      <c r="M31" s="297">
        <v>8973403</v>
      </c>
      <c r="N31" s="297">
        <v>37781</v>
      </c>
      <c r="O31" s="19">
        <v>0</v>
      </c>
      <c r="P31" s="19">
        <v>10157</v>
      </c>
      <c r="Q31" s="297">
        <f t="shared" si="0"/>
        <v>9021341</v>
      </c>
      <c r="S31" s="14"/>
      <c r="T31" s="368">
        <f t="shared" si="3"/>
        <v>12957670</v>
      </c>
      <c r="U31" s="14">
        <f t="shared" si="4"/>
        <v>54556</v>
      </c>
      <c r="V31" s="14">
        <f t="shared" si="5"/>
        <v>0</v>
      </c>
      <c r="W31" s="14">
        <f t="shared" si="6"/>
        <v>14667</v>
      </c>
      <c r="X31" s="14">
        <v>9021342</v>
      </c>
      <c r="Y31" s="14"/>
    </row>
    <row r="32" spans="1:25" ht="15">
      <c r="A32" s="581">
        <v>22</v>
      </c>
      <c r="B32" s="586" t="s">
        <v>746</v>
      </c>
      <c r="C32" s="723">
        <v>55009</v>
      </c>
      <c r="D32" s="723">
        <v>1140</v>
      </c>
      <c r="E32" s="723">
        <v>30</v>
      </c>
      <c r="F32" s="638">
        <v>0</v>
      </c>
      <c r="G32" s="640">
        <f t="shared" si="1"/>
        <v>56179</v>
      </c>
      <c r="H32" s="19">
        <v>44179</v>
      </c>
      <c r="I32" s="19">
        <v>667</v>
      </c>
      <c r="J32" s="19">
        <v>26</v>
      </c>
      <c r="K32" s="19">
        <v>0</v>
      </c>
      <c r="L32" s="368">
        <f t="shared" si="2"/>
        <v>44872</v>
      </c>
      <c r="M32" s="297">
        <v>10161352</v>
      </c>
      <c r="N32" s="297">
        <v>153209</v>
      </c>
      <c r="O32" s="19">
        <v>5980</v>
      </c>
      <c r="P32" s="19">
        <v>0</v>
      </c>
      <c r="Q32" s="297">
        <f t="shared" si="0"/>
        <v>10320541</v>
      </c>
      <c r="S32" s="14"/>
      <c r="T32" s="368">
        <f t="shared" si="3"/>
        <v>14673078</v>
      </c>
      <c r="U32" s="14">
        <f t="shared" si="4"/>
        <v>221235</v>
      </c>
      <c r="V32" s="14">
        <f t="shared" si="5"/>
        <v>8635</v>
      </c>
      <c r="W32" s="14">
        <f t="shared" si="6"/>
        <v>0</v>
      </c>
      <c r="X32" s="14">
        <v>10320541</v>
      </c>
      <c r="Y32" s="14"/>
    </row>
    <row r="33" spans="1:25" ht="15">
      <c r="A33" s="581">
        <v>23</v>
      </c>
      <c r="B33" s="586" t="s">
        <v>738</v>
      </c>
      <c r="C33" s="723">
        <v>32978</v>
      </c>
      <c r="D33" s="723">
        <v>367</v>
      </c>
      <c r="E33" s="723">
        <v>0</v>
      </c>
      <c r="F33" s="638">
        <v>25</v>
      </c>
      <c r="G33" s="640">
        <f t="shared" si="1"/>
        <v>33370</v>
      </c>
      <c r="H33" s="19">
        <v>31146</v>
      </c>
      <c r="I33" s="19">
        <v>283</v>
      </c>
      <c r="J33" s="19">
        <v>0</v>
      </c>
      <c r="K33" s="19">
        <v>16</v>
      </c>
      <c r="L33" s="368">
        <f t="shared" si="2"/>
        <v>31445</v>
      </c>
      <c r="M33" s="297">
        <v>7101326</v>
      </c>
      <c r="N33" s="297">
        <v>64355</v>
      </c>
      <c r="O33" s="19">
        <v>0</v>
      </c>
      <c r="P33" s="19">
        <v>3494</v>
      </c>
      <c r="Q33" s="297">
        <f t="shared" si="0"/>
        <v>7169175</v>
      </c>
      <c r="S33" s="14"/>
      <c r="T33" s="368">
        <f t="shared" si="3"/>
        <v>10254375</v>
      </c>
      <c r="U33" s="14">
        <f t="shared" si="4"/>
        <v>92929</v>
      </c>
      <c r="V33" s="14">
        <f t="shared" si="5"/>
        <v>0</v>
      </c>
      <c r="W33" s="14">
        <f t="shared" si="6"/>
        <v>5045</v>
      </c>
      <c r="X33" s="14">
        <v>7169176</v>
      </c>
      <c r="Y33" s="14"/>
    </row>
    <row r="34" spans="1:25" ht="15">
      <c r="A34" s="581">
        <v>24</v>
      </c>
      <c r="B34" s="586" t="s">
        <v>730</v>
      </c>
      <c r="C34" s="723">
        <v>35925</v>
      </c>
      <c r="D34" s="723">
        <v>33</v>
      </c>
      <c r="E34" s="723">
        <v>0</v>
      </c>
      <c r="F34" s="638">
        <v>54</v>
      </c>
      <c r="G34" s="640">
        <f t="shared" si="1"/>
        <v>36012</v>
      </c>
      <c r="H34" s="19">
        <v>33626</v>
      </c>
      <c r="I34" s="19">
        <v>31</v>
      </c>
      <c r="J34" s="19">
        <v>0</v>
      </c>
      <c r="K34" s="19">
        <v>42</v>
      </c>
      <c r="L34" s="368">
        <f t="shared" si="2"/>
        <v>33699</v>
      </c>
      <c r="M34" s="297">
        <v>7666720</v>
      </c>
      <c r="N34" s="297">
        <v>6937</v>
      </c>
      <c r="O34" s="19">
        <v>0</v>
      </c>
      <c r="P34" s="19">
        <v>9730</v>
      </c>
      <c r="Q34" s="297">
        <f t="shared" si="0"/>
        <v>7683387</v>
      </c>
      <c r="S34" s="14"/>
      <c r="T34" s="368">
        <f t="shared" si="3"/>
        <v>11070808</v>
      </c>
      <c r="U34" s="14">
        <f t="shared" si="4"/>
        <v>10017</v>
      </c>
      <c r="V34" s="14">
        <f t="shared" si="5"/>
        <v>0</v>
      </c>
      <c r="W34" s="14">
        <f t="shared" si="6"/>
        <v>14050</v>
      </c>
      <c r="X34" s="14">
        <v>7683387</v>
      </c>
      <c r="Y34" s="14"/>
    </row>
    <row r="35" spans="1:25" ht="15">
      <c r="A35" s="581">
        <v>25</v>
      </c>
      <c r="B35" s="586" t="s">
        <v>736</v>
      </c>
      <c r="C35" s="723">
        <v>10098</v>
      </c>
      <c r="D35" s="723">
        <v>885</v>
      </c>
      <c r="E35" s="723">
        <v>0</v>
      </c>
      <c r="F35" s="638">
        <v>6</v>
      </c>
      <c r="G35" s="640">
        <f t="shared" si="1"/>
        <v>10989</v>
      </c>
      <c r="H35" s="19">
        <v>9542</v>
      </c>
      <c r="I35" s="19">
        <v>848</v>
      </c>
      <c r="J35" s="19">
        <v>0</v>
      </c>
      <c r="K35" s="19">
        <v>5</v>
      </c>
      <c r="L35" s="368">
        <f t="shared" si="2"/>
        <v>10395</v>
      </c>
      <c r="M35" s="297">
        <v>2175636</v>
      </c>
      <c r="N35" s="297">
        <v>193406</v>
      </c>
      <c r="O35" s="19">
        <v>0</v>
      </c>
      <c r="P35" s="19">
        <v>1103</v>
      </c>
      <c r="Q35" s="297">
        <f t="shared" si="0"/>
        <v>2370145</v>
      </c>
      <c r="S35" s="14"/>
      <c r="T35" s="368">
        <f t="shared" si="3"/>
        <v>3141637</v>
      </c>
      <c r="U35" s="14">
        <f t="shared" si="4"/>
        <v>279280</v>
      </c>
      <c r="V35" s="14">
        <f t="shared" si="5"/>
        <v>0</v>
      </c>
      <c r="W35" s="14">
        <f t="shared" si="6"/>
        <v>1593</v>
      </c>
      <c r="X35" s="14">
        <v>2370145</v>
      </c>
      <c r="Y35" s="14"/>
    </row>
    <row r="36" spans="1:25" ht="15">
      <c r="A36" s="581">
        <v>26</v>
      </c>
      <c r="B36" s="586" t="s">
        <v>744</v>
      </c>
      <c r="C36" s="723">
        <v>10720</v>
      </c>
      <c r="D36" s="723">
        <v>648</v>
      </c>
      <c r="E36" s="723">
        <v>0</v>
      </c>
      <c r="F36" s="638">
        <v>0</v>
      </c>
      <c r="G36" s="640">
        <f t="shared" si="1"/>
        <v>11368</v>
      </c>
      <c r="H36" s="19">
        <v>10174</v>
      </c>
      <c r="I36" s="19">
        <v>508</v>
      </c>
      <c r="J36" s="19">
        <v>0</v>
      </c>
      <c r="K36" s="19">
        <v>0</v>
      </c>
      <c r="L36" s="368">
        <f t="shared" si="2"/>
        <v>10682</v>
      </c>
      <c r="M36" s="297">
        <v>2086168</v>
      </c>
      <c r="N36" s="297">
        <v>104003</v>
      </c>
      <c r="O36" s="19">
        <v>0</v>
      </c>
      <c r="P36" s="19">
        <v>0</v>
      </c>
      <c r="Q36" s="297">
        <f t="shared" si="0"/>
        <v>2190171</v>
      </c>
      <c r="S36" s="14"/>
      <c r="T36" s="368">
        <f t="shared" si="3"/>
        <v>3012444</v>
      </c>
      <c r="U36" s="14">
        <f t="shared" si="4"/>
        <v>150181</v>
      </c>
      <c r="V36" s="14">
        <f t="shared" si="5"/>
        <v>0</v>
      </c>
      <c r="W36" s="14">
        <f t="shared" si="6"/>
        <v>0</v>
      </c>
      <c r="X36" s="14">
        <v>2190171</v>
      </c>
      <c r="Y36" s="14"/>
    </row>
    <row r="37" spans="1:25" ht="15">
      <c r="A37" s="581">
        <v>27</v>
      </c>
      <c r="B37" s="586" t="s">
        <v>745</v>
      </c>
      <c r="C37" s="723">
        <v>39429</v>
      </c>
      <c r="D37" s="723">
        <v>175</v>
      </c>
      <c r="E37" s="723">
        <v>0</v>
      </c>
      <c r="F37" s="638">
        <v>0</v>
      </c>
      <c r="G37" s="640">
        <f t="shared" si="1"/>
        <v>39604</v>
      </c>
      <c r="H37" s="19">
        <v>30318</v>
      </c>
      <c r="I37" s="19">
        <v>153</v>
      </c>
      <c r="J37" s="19">
        <v>0</v>
      </c>
      <c r="K37" s="19">
        <v>0</v>
      </c>
      <c r="L37" s="368">
        <f t="shared" si="2"/>
        <v>30471</v>
      </c>
      <c r="M37" s="297">
        <v>6912536</v>
      </c>
      <c r="N37" s="297">
        <v>34815</v>
      </c>
      <c r="O37" s="19">
        <v>0</v>
      </c>
      <c r="P37" s="19">
        <v>0</v>
      </c>
      <c r="Q37" s="297">
        <f t="shared" si="0"/>
        <v>6947351</v>
      </c>
      <c r="S37" s="14"/>
      <c r="T37" s="368">
        <f t="shared" si="3"/>
        <v>9981760</v>
      </c>
      <c r="U37" s="14">
        <f t="shared" si="4"/>
        <v>50273</v>
      </c>
      <c r="V37" s="14">
        <f t="shared" si="5"/>
        <v>0</v>
      </c>
      <c r="W37" s="14">
        <f t="shared" si="6"/>
        <v>0</v>
      </c>
      <c r="X37" s="14">
        <v>6947351</v>
      </c>
      <c r="Y37" s="14"/>
    </row>
    <row r="38" spans="1:24" ht="15">
      <c r="A38" s="296"/>
      <c r="B38" s="639" t="s">
        <v>19</v>
      </c>
      <c r="C38" s="642">
        <f aca="true" t="shared" si="7" ref="C38:Q38">SUM(C11:C37)</f>
        <v>1141030</v>
      </c>
      <c r="D38" s="642">
        <f t="shared" si="7"/>
        <v>27028</v>
      </c>
      <c r="E38" s="642">
        <f t="shared" si="7"/>
        <v>263</v>
      </c>
      <c r="F38" s="642">
        <f t="shared" si="7"/>
        <v>2120</v>
      </c>
      <c r="G38" s="641">
        <f t="shared" si="7"/>
        <v>1170441</v>
      </c>
      <c r="H38" s="369">
        <f t="shared" si="7"/>
        <v>933442</v>
      </c>
      <c r="I38" s="369">
        <f t="shared" si="7"/>
        <v>21612</v>
      </c>
      <c r="J38" s="470">
        <f t="shared" si="7"/>
        <v>234</v>
      </c>
      <c r="K38" s="470">
        <f t="shared" si="7"/>
        <v>1625</v>
      </c>
      <c r="L38" s="369">
        <f t="shared" si="7"/>
        <v>956913</v>
      </c>
      <c r="M38" s="369">
        <f t="shared" si="7"/>
        <v>211279477</v>
      </c>
      <c r="N38" s="369">
        <f t="shared" si="7"/>
        <v>4884883</v>
      </c>
      <c r="O38" s="369">
        <f>SUM(O11:O37)</f>
        <v>52963</v>
      </c>
      <c r="P38" s="369">
        <f>SUM(P11:P37)</f>
        <v>368568</v>
      </c>
      <c r="Q38" s="369">
        <f t="shared" si="7"/>
        <v>216585891</v>
      </c>
      <c r="R38" s="369"/>
      <c r="S38" s="14"/>
      <c r="T38" s="15">
        <f>ROUND(M38/149989353*216585891,0)</f>
        <v>305089347</v>
      </c>
      <c r="U38" s="15">
        <f>ROUND(N38/149989353*216585891,0)</f>
        <v>7053812</v>
      </c>
      <c r="V38" s="15">
        <f>ROUND(O38/149989353*216585891,0)</f>
        <v>76479</v>
      </c>
      <c r="W38" s="15">
        <f>ROUND(P38/149989353*216585891,0)</f>
        <v>532215</v>
      </c>
      <c r="X38" s="15">
        <v>216585891</v>
      </c>
    </row>
    <row r="39" spans="1:4" ht="12.75">
      <c r="A39" s="10" t="s">
        <v>8</v>
      </c>
      <c r="B39"/>
      <c r="C39"/>
      <c r="D39"/>
    </row>
    <row r="40" spans="1:4" ht="12.75">
      <c r="A40" t="s">
        <v>9</v>
      </c>
      <c r="B40"/>
      <c r="C40"/>
      <c r="D40"/>
    </row>
    <row r="41" spans="1:12" ht="12.75">
      <c r="A41" t="s">
        <v>10</v>
      </c>
      <c r="B41"/>
      <c r="C41"/>
      <c r="D41"/>
      <c r="I41" s="11"/>
      <c r="J41" s="11"/>
      <c r="K41" s="11"/>
      <c r="L41" s="11"/>
    </row>
    <row r="42" spans="1:12" ht="12.75">
      <c r="A42" s="15" t="s">
        <v>431</v>
      </c>
      <c r="J42" s="11"/>
      <c r="K42" s="11"/>
      <c r="L42" s="11"/>
    </row>
    <row r="43" spans="3:13" ht="12.75">
      <c r="C43" s="15" t="s">
        <v>433</v>
      </c>
      <c r="E43" s="12"/>
      <c r="F43" s="12"/>
      <c r="G43" s="12"/>
      <c r="H43" s="12"/>
      <c r="I43" s="12"/>
      <c r="J43" s="12"/>
      <c r="K43" s="12"/>
      <c r="L43" s="12"/>
      <c r="M43" s="12"/>
    </row>
    <row r="45" spans="1:17" ht="12.75" customHeight="1">
      <c r="A45" s="14" t="s">
        <v>12</v>
      </c>
      <c r="B45" s="14"/>
      <c r="C45" s="14"/>
      <c r="D45" s="14"/>
      <c r="E45" s="14"/>
      <c r="F45" s="14"/>
      <c r="G45" s="14"/>
      <c r="I45" s="14"/>
      <c r="L45" s="14"/>
      <c r="M45" s="14"/>
      <c r="N45" s="881" t="s">
        <v>13</v>
      </c>
      <c r="O45" s="881"/>
      <c r="P45" s="83"/>
      <c r="Q45" s="14"/>
    </row>
    <row r="46" spans="1:17" ht="12.7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81" t="s">
        <v>14</v>
      </c>
      <c r="N46" s="881"/>
      <c r="O46" s="881"/>
      <c r="P46" s="881"/>
      <c r="Q46" s="83"/>
    </row>
    <row r="47" spans="1:18" ht="12.75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81" t="s">
        <v>637</v>
      </c>
      <c r="M47" s="881"/>
      <c r="N47" s="881"/>
      <c r="O47" s="881"/>
      <c r="P47" s="881"/>
      <c r="Q47" s="881"/>
      <c r="R47" s="83"/>
    </row>
    <row r="48" spans="1:17" ht="12.75">
      <c r="A48" s="14"/>
      <c r="B48" s="14"/>
      <c r="C48" s="14"/>
      <c r="D48" s="14"/>
      <c r="E48" s="14"/>
      <c r="F48" s="14"/>
      <c r="L48" s="14"/>
      <c r="M48" s="14"/>
      <c r="N48" s="1" t="s">
        <v>84</v>
      </c>
      <c r="O48" s="1"/>
      <c r="P48" s="1"/>
      <c r="Q48" s="1"/>
    </row>
    <row r="49" spans="1:12" ht="12.75">
      <c r="A49" s="970"/>
      <c r="B49" s="970"/>
      <c r="C49" s="970"/>
      <c r="D49" s="970"/>
      <c r="E49" s="970"/>
      <c r="F49" s="970"/>
      <c r="G49" s="970"/>
      <c r="H49" s="970"/>
      <c r="I49" s="970"/>
      <c r="J49" s="970"/>
      <c r="K49" s="970"/>
      <c r="L49" s="970"/>
    </row>
  </sheetData>
  <sheetProtection/>
  <mergeCells count="15">
    <mergeCell ref="B8:B9"/>
    <mergeCell ref="C8:G8"/>
    <mergeCell ref="H8:L8"/>
    <mergeCell ref="N45:O45"/>
    <mergeCell ref="N7:Q7"/>
    <mergeCell ref="U8:Y8"/>
    <mergeCell ref="M46:P46"/>
    <mergeCell ref="L47:Q47"/>
    <mergeCell ref="A49:L49"/>
    <mergeCell ref="O1:Q1"/>
    <mergeCell ref="A2:L2"/>
    <mergeCell ref="A3:L3"/>
    <mergeCell ref="A5:L5"/>
    <mergeCell ref="M8:Q8"/>
    <mergeCell ref="A8:A9"/>
  </mergeCells>
  <printOptions horizontalCentered="1"/>
  <pageMargins left="0.7086614173228347" right="0.7086614173228347" top="0.63" bottom="0" header="0.73" footer="0.31496062992125984"/>
  <pageSetup fitToHeight="1" fitToWidth="1" horizontalDpi="600" verticalDpi="6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44"/>
  <sheetViews>
    <sheetView view="pageBreakPreview" zoomScaleSheetLayoutView="100" zoomScalePageLayoutView="0" workbookViewId="0" topLeftCell="A16">
      <selection activeCell="C29" sqref="C29"/>
    </sheetView>
  </sheetViews>
  <sheetFormatPr defaultColWidth="9.140625" defaultRowHeight="12.75"/>
  <cols>
    <col min="1" max="1" width="6.00390625" style="0" customWidth="1"/>
    <col min="2" max="2" width="15.57421875" style="0" customWidth="1"/>
    <col min="3" max="3" width="13.28125" style="0" customWidth="1"/>
    <col min="4" max="4" width="19.00390625" style="0" customWidth="1"/>
    <col min="5" max="5" width="19.7109375" style="0" customWidth="1"/>
    <col min="6" max="6" width="18.8515625" style="0" customWidth="1"/>
    <col min="7" max="7" width="15.28125" style="0" customWidth="1"/>
  </cols>
  <sheetData>
    <row r="1" spans="1:7" ht="18">
      <c r="A1" s="958" t="s">
        <v>0</v>
      </c>
      <c r="B1" s="958"/>
      <c r="C1" s="958"/>
      <c r="D1" s="958"/>
      <c r="E1" s="958"/>
      <c r="G1" s="190" t="s">
        <v>816</v>
      </c>
    </row>
    <row r="2" spans="1:6" ht="21">
      <c r="A2" s="959" t="s">
        <v>859</v>
      </c>
      <c r="B2" s="959"/>
      <c r="C2" s="959"/>
      <c r="D2" s="959"/>
      <c r="E2" s="959"/>
      <c r="F2" s="959"/>
    </row>
    <row r="3" spans="1:2" ht="15">
      <c r="A3" s="191"/>
      <c r="B3" s="191"/>
    </row>
    <row r="4" spans="1:6" ht="18" customHeight="1">
      <c r="A4" s="960" t="s">
        <v>817</v>
      </c>
      <c r="B4" s="960"/>
      <c r="C4" s="960"/>
      <c r="D4" s="960"/>
      <c r="E4" s="960"/>
      <c r="F4" s="960"/>
    </row>
    <row r="5" spans="1:2" ht="15">
      <c r="A5" s="192" t="s">
        <v>634</v>
      </c>
      <c r="B5" s="192"/>
    </row>
    <row r="6" spans="1:7" ht="15">
      <c r="A6" s="192"/>
      <c r="B6" s="192"/>
      <c r="F6" s="100" t="s">
        <v>906</v>
      </c>
      <c r="G6" s="110"/>
    </row>
    <row r="7" spans="1:7" ht="42" customHeight="1">
      <c r="A7" s="193" t="s">
        <v>2</v>
      </c>
      <c r="B7" s="193" t="s">
        <v>3</v>
      </c>
      <c r="C7" s="554" t="s">
        <v>818</v>
      </c>
      <c r="D7" s="554" t="s">
        <v>819</v>
      </c>
      <c r="E7" s="554" t="s">
        <v>820</v>
      </c>
      <c r="F7" s="554" t="s">
        <v>821</v>
      </c>
      <c r="G7" s="410" t="s">
        <v>822</v>
      </c>
    </row>
    <row r="8" spans="1:7" s="190" customFormat="1" ht="15">
      <c r="A8" s="194" t="s">
        <v>282</v>
      </c>
      <c r="B8" s="194" t="s">
        <v>283</v>
      </c>
      <c r="C8" s="194" t="s">
        <v>284</v>
      </c>
      <c r="D8" s="194" t="s">
        <v>285</v>
      </c>
      <c r="E8" s="194" t="s">
        <v>286</v>
      </c>
      <c r="F8" s="194" t="s">
        <v>287</v>
      </c>
      <c r="G8" s="194" t="s">
        <v>288</v>
      </c>
    </row>
    <row r="9" spans="1:7" s="190" customFormat="1" ht="15">
      <c r="A9" s="581">
        <v>1</v>
      </c>
      <c r="B9" s="586" t="s">
        <v>898</v>
      </c>
      <c r="C9" s="569">
        <f>'AT 4 enrolment vs availed_PY'!G11+'AT 4A enrolment vs availed_UPY'!G11</f>
        <v>102224</v>
      </c>
      <c r="D9" s="569">
        <v>101917</v>
      </c>
      <c r="E9" s="569">
        <v>307</v>
      </c>
      <c r="F9" s="565">
        <v>0</v>
      </c>
      <c r="G9" s="565">
        <v>0</v>
      </c>
    </row>
    <row r="10" spans="1:7" s="190" customFormat="1" ht="15">
      <c r="A10" s="581">
        <v>2</v>
      </c>
      <c r="B10" s="586" t="s">
        <v>899</v>
      </c>
      <c r="C10" s="569">
        <f>'AT 4 enrolment vs availed_PY'!G12+'AT 4A enrolment vs availed_UPY'!G12</f>
        <v>115933</v>
      </c>
      <c r="D10" s="569">
        <v>115701</v>
      </c>
      <c r="E10" s="569">
        <v>232</v>
      </c>
      <c r="F10" s="565">
        <v>0</v>
      </c>
      <c r="G10" s="565"/>
    </row>
    <row r="11" spans="1:7" s="190" customFormat="1" ht="15">
      <c r="A11" s="581">
        <v>3</v>
      </c>
      <c r="B11" s="586" t="s">
        <v>839</v>
      </c>
      <c r="C11" s="569">
        <f>'AT 4 enrolment vs availed_PY'!G13+'AT 4A enrolment vs availed_UPY'!G13</f>
        <v>97020</v>
      </c>
      <c r="D11" s="569">
        <v>96923</v>
      </c>
      <c r="E11" s="569">
        <v>97</v>
      </c>
      <c r="F11" s="565">
        <f>C11-D11-E11</f>
        <v>0</v>
      </c>
      <c r="G11" s="565">
        <v>0</v>
      </c>
    </row>
    <row r="12" spans="1:7" s="190" customFormat="1" ht="15">
      <c r="A12" s="581">
        <v>4</v>
      </c>
      <c r="B12" s="586" t="s">
        <v>743</v>
      </c>
      <c r="C12" s="569">
        <f>'AT 4 enrolment vs availed_PY'!G14+'AT 4A enrolment vs availed_UPY'!G14</f>
        <v>247544</v>
      </c>
      <c r="D12" s="569">
        <v>246801</v>
      </c>
      <c r="E12" s="569">
        <v>743</v>
      </c>
      <c r="F12" s="565">
        <v>0</v>
      </c>
      <c r="G12" s="565">
        <v>0</v>
      </c>
    </row>
    <row r="13" spans="1:7" s="190" customFormat="1" ht="15">
      <c r="A13" s="581">
        <v>5</v>
      </c>
      <c r="B13" s="586" t="s">
        <v>748</v>
      </c>
      <c r="C13" s="569">
        <f>'AT 4 enrolment vs availed_PY'!G15+'AT 4A enrolment vs availed_UPY'!G15</f>
        <v>148912</v>
      </c>
      <c r="D13" s="569">
        <v>148316</v>
      </c>
      <c r="E13" s="569">
        <v>596</v>
      </c>
      <c r="F13" s="565">
        <v>0</v>
      </c>
      <c r="G13" s="565">
        <v>0</v>
      </c>
    </row>
    <row r="14" spans="1:7" s="190" customFormat="1" ht="15">
      <c r="A14" s="581">
        <v>6</v>
      </c>
      <c r="B14" s="586" t="s">
        <v>747</v>
      </c>
      <c r="C14" s="569">
        <f>'AT 4 enrolment vs availed_PY'!G16+'AT 4A enrolment vs availed_UPY'!G16</f>
        <v>189108</v>
      </c>
      <c r="D14" s="569">
        <v>189108</v>
      </c>
      <c r="E14" s="569">
        <v>0</v>
      </c>
      <c r="F14" s="565">
        <f aca="true" t="shared" si="0" ref="F14:F23">C14-D14-E14</f>
        <v>0</v>
      </c>
      <c r="G14" s="565">
        <v>0</v>
      </c>
    </row>
    <row r="15" spans="1:7" s="190" customFormat="1" ht="15">
      <c r="A15" s="581">
        <v>7</v>
      </c>
      <c r="B15" s="586" t="s">
        <v>737</v>
      </c>
      <c r="C15" s="569">
        <f>'AT 4 enrolment vs availed_PY'!G17+'AT 4A enrolment vs availed_UPY'!G17</f>
        <v>112724</v>
      </c>
      <c r="D15" s="569">
        <v>112611</v>
      </c>
      <c r="E15" s="569">
        <v>113</v>
      </c>
      <c r="F15" s="565">
        <f t="shared" si="0"/>
        <v>0</v>
      </c>
      <c r="G15" s="565">
        <v>0</v>
      </c>
    </row>
    <row r="16" spans="1:7" s="190" customFormat="1" ht="15">
      <c r="A16" s="581">
        <v>8</v>
      </c>
      <c r="B16" s="586" t="s">
        <v>749</v>
      </c>
      <c r="C16" s="569">
        <f>'AT 4 enrolment vs availed_PY'!G18+'AT 4A enrolment vs availed_UPY'!G18</f>
        <v>177492</v>
      </c>
      <c r="D16" s="569">
        <v>165068</v>
      </c>
      <c r="E16" s="569">
        <v>12424</v>
      </c>
      <c r="F16" s="565">
        <f t="shared" si="0"/>
        <v>0</v>
      </c>
      <c r="G16" s="565">
        <v>0</v>
      </c>
    </row>
    <row r="17" spans="1:7" ht="15">
      <c r="A17" s="581">
        <v>9</v>
      </c>
      <c r="B17" s="586" t="s">
        <v>834</v>
      </c>
      <c r="C17" s="569">
        <f>'AT 4 enrolment vs availed_PY'!G19+'AT 4A enrolment vs availed_UPY'!G19</f>
        <v>108536</v>
      </c>
      <c r="D17" s="288">
        <v>75975</v>
      </c>
      <c r="E17" s="288">
        <v>32561</v>
      </c>
      <c r="F17" s="565">
        <f t="shared" si="0"/>
        <v>0</v>
      </c>
      <c r="G17" s="18">
        <v>0</v>
      </c>
    </row>
    <row r="18" spans="1:7" ht="15">
      <c r="A18" s="581">
        <v>10</v>
      </c>
      <c r="B18" s="586" t="s">
        <v>739</v>
      </c>
      <c r="C18" s="569">
        <f>'AT 4 enrolment vs availed_PY'!G20+'AT 4A enrolment vs availed_UPY'!G20</f>
        <v>22756</v>
      </c>
      <c r="D18" s="288">
        <v>17295</v>
      </c>
      <c r="E18" s="288">
        <v>5461</v>
      </c>
      <c r="F18" s="565">
        <f t="shared" si="0"/>
        <v>0</v>
      </c>
      <c r="G18" s="18">
        <v>0</v>
      </c>
    </row>
    <row r="19" spans="1:7" ht="15">
      <c r="A19" s="581">
        <v>11</v>
      </c>
      <c r="B19" s="586" t="s">
        <v>900</v>
      </c>
      <c r="C19" s="569">
        <f>'AT 4 enrolment vs availed_PY'!G21+'AT 4A enrolment vs availed_UPY'!G21</f>
        <v>35759</v>
      </c>
      <c r="D19" s="288">
        <v>31468</v>
      </c>
      <c r="E19" s="288">
        <v>4291</v>
      </c>
      <c r="F19" s="565">
        <f t="shared" si="0"/>
        <v>0</v>
      </c>
      <c r="G19" s="18">
        <v>0</v>
      </c>
    </row>
    <row r="20" spans="1:7" ht="15">
      <c r="A20" s="581">
        <v>12</v>
      </c>
      <c r="B20" s="586" t="s">
        <v>731</v>
      </c>
      <c r="C20" s="569">
        <f>'AT 4 enrolment vs availed_PY'!G22+'AT 4A enrolment vs availed_UPY'!G22</f>
        <v>85976</v>
      </c>
      <c r="D20" s="288">
        <v>85116</v>
      </c>
      <c r="E20" s="288">
        <v>860</v>
      </c>
      <c r="F20" s="565">
        <f t="shared" si="0"/>
        <v>0</v>
      </c>
      <c r="G20" s="18">
        <v>0</v>
      </c>
    </row>
    <row r="21" spans="1:7" ht="15">
      <c r="A21" s="581">
        <v>13</v>
      </c>
      <c r="B21" s="586" t="s">
        <v>742</v>
      </c>
      <c r="C21" s="569">
        <f>'AT 4 enrolment vs availed_PY'!G23+'AT 4A enrolment vs availed_UPY'!G23</f>
        <v>83594</v>
      </c>
      <c r="D21" s="288">
        <v>83427</v>
      </c>
      <c r="E21" s="288">
        <v>167</v>
      </c>
      <c r="F21" s="565">
        <f t="shared" si="0"/>
        <v>0</v>
      </c>
      <c r="G21" s="18">
        <v>0</v>
      </c>
    </row>
    <row r="22" spans="1:7" ht="15">
      <c r="A22" s="581">
        <v>14</v>
      </c>
      <c r="B22" s="586" t="s">
        <v>740</v>
      </c>
      <c r="C22" s="569">
        <f>'AT 4 enrolment vs availed_PY'!G24+'AT 4A enrolment vs availed_UPY'!G24</f>
        <v>123615</v>
      </c>
      <c r="D22" s="288">
        <v>117434</v>
      </c>
      <c r="E22" s="288">
        <v>6181</v>
      </c>
      <c r="F22" s="565">
        <f t="shared" si="0"/>
        <v>0</v>
      </c>
      <c r="G22" s="18">
        <v>0</v>
      </c>
    </row>
    <row r="23" spans="1:7" ht="15">
      <c r="A23" s="581">
        <v>15</v>
      </c>
      <c r="B23" s="586" t="s">
        <v>734</v>
      </c>
      <c r="C23" s="569">
        <f>'AT 4 enrolment vs availed_PY'!G25+'AT 4A enrolment vs availed_UPY'!G25</f>
        <v>81295</v>
      </c>
      <c r="D23" s="288">
        <v>78856</v>
      </c>
      <c r="E23" s="288">
        <v>2439</v>
      </c>
      <c r="F23" s="565">
        <f t="shared" si="0"/>
        <v>0</v>
      </c>
      <c r="G23" s="18">
        <v>0</v>
      </c>
    </row>
    <row r="24" spans="1:7" ht="15">
      <c r="A24" s="581">
        <v>16</v>
      </c>
      <c r="B24" s="586" t="s">
        <v>741</v>
      </c>
      <c r="C24" s="569">
        <f>'AT 4 enrolment vs availed_PY'!G26+'AT 4A enrolment vs availed_UPY'!G26</f>
        <v>191259</v>
      </c>
      <c r="D24" s="288">
        <v>181696</v>
      </c>
      <c r="E24" s="569">
        <v>9563</v>
      </c>
      <c r="F24" s="566">
        <v>0</v>
      </c>
      <c r="G24" s="18">
        <v>0</v>
      </c>
    </row>
    <row r="25" spans="1:7" ht="15">
      <c r="A25" s="581">
        <v>17</v>
      </c>
      <c r="B25" s="586" t="s">
        <v>733</v>
      </c>
      <c r="C25" s="569">
        <f>'AT 4 enrolment vs availed_PY'!G27+'AT 4A enrolment vs availed_UPY'!G27</f>
        <v>70898</v>
      </c>
      <c r="D25" s="572">
        <v>68771</v>
      </c>
      <c r="E25" s="569">
        <v>2127</v>
      </c>
      <c r="F25" s="573">
        <v>0</v>
      </c>
      <c r="G25" s="573">
        <v>0</v>
      </c>
    </row>
    <row r="26" spans="1:7" ht="15">
      <c r="A26" s="581">
        <v>18</v>
      </c>
      <c r="B26" s="586" t="s">
        <v>735</v>
      </c>
      <c r="C26" s="569">
        <f>'AT 4 enrolment vs availed_PY'!G28+'AT 4A enrolment vs availed_UPY'!G28</f>
        <v>186645</v>
      </c>
      <c r="D26" s="569">
        <v>181046</v>
      </c>
      <c r="E26" s="569">
        <v>5599</v>
      </c>
      <c r="F26" s="565">
        <v>0</v>
      </c>
      <c r="G26" s="565">
        <v>0</v>
      </c>
    </row>
    <row r="27" spans="1:7" ht="15">
      <c r="A27" s="581">
        <v>19</v>
      </c>
      <c r="B27" s="586" t="s">
        <v>732</v>
      </c>
      <c r="C27" s="569">
        <f>'AT 4 enrolment vs availed_PY'!G29+'AT 4A enrolment vs availed_UPY'!G29</f>
        <v>127531</v>
      </c>
      <c r="D27" s="569">
        <v>122430</v>
      </c>
      <c r="E27" s="569">
        <v>5101</v>
      </c>
      <c r="F27" s="565">
        <f>C27-D27-E27</f>
        <v>0</v>
      </c>
      <c r="G27" s="565">
        <v>0</v>
      </c>
    </row>
    <row r="28" spans="1:7" ht="15" customHeight="1">
      <c r="A28" s="581">
        <v>20</v>
      </c>
      <c r="B28" s="586" t="s">
        <v>836</v>
      </c>
      <c r="C28" s="569">
        <f>'AT 4 enrolment vs availed_PY'!G30+'AT 4A enrolment vs availed_UPY'!G30</f>
        <v>106490</v>
      </c>
      <c r="D28" s="569">
        <v>105958</v>
      </c>
      <c r="E28" s="569">
        <v>532</v>
      </c>
      <c r="F28" s="565">
        <f>C28-D28-E28</f>
        <v>0</v>
      </c>
      <c r="G28" s="565">
        <v>0</v>
      </c>
    </row>
    <row r="29" spans="1:7" ht="15" customHeight="1">
      <c r="A29" s="581">
        <v>21</v>
      </c>
      <c r="B29" s="586" t="s">
        <v>729</v>
      </c>
      <c r="C29" s="569">
        <f>'AT 4 enrolment vs availed_PY'!G31+'AT 4A enrolment vs availed_UPY'!G31</f>
        <v>129896</v>
      </c>
      <c r="D29" s="569">
        <v>129376</v>
      </c>
      <c r="E29" s="569">
        <v>520</v>
      </c>
      <c r="F29" s="565">
        <f>C29-D29-E29</f>
        <v>0</v>
      </c>
      <c r="G29" s="565">
        <v>0</v>
      </c>
    </row>
    <row r="30" spans="1:7" ht="15" customHeight="1">
      <c r="A30" s="581">
        <v>22</v>
      </c>
      <c r="B30" s="586" t="s">
        <v>746</v>
      </c>
      <c r="C30" s="569">
        <f>'AT 4 enrolment vs availed_PY'!G32+'AT 4A enrolment vs availed_UPY'!G32</f>
        <v>136864</v>
      </c>
      <c r="D30" s="569">
        <v>136864</v>
      </c>
      <c r="E30" s="569">
        <v>0</v>
      </c>
      <c r="F30" s="565">
        <v>0</v>
      </c>
      <c r="G30" s="565">
        <v>0</v>
      </c>
    </row>
    <row r="31" spans="1:7" ht="15">
      <c r="A31" s="581">
        <v>23</v>
      </c>
      <c r="B31" s="586" t="s">
        <v>738</v>
      </c>
      <c r="C31" s="569">
        <f>'AT 4 enrolment vs availed_PY'!G33+'AT 4A enrolment vs availed_UPY'!G33</f>
        <v>81781</v>
      </c>
      <c r="D31" s="570">
        <v>74421</v>
      </c>
      <c r="E31" s="570">
        <v>7360</v>
      </c>
      <c r="F31" s="565">
        <f>C31-D31-E31</f>
        <v>0</v>
      </c>
      <c r="G31" s="567">
        <v>0</v>
      </c>
    </row>
    <row r="32" spans="1:9" ht="15">
      <c r="A32" s="581">
        <v>24</v>
      </c>
      <c r="B32" s="586" t="s">
        <v>730</v>
      </c>
      <c r="C32" s="569">
        <f>'AT 4 enrolment vs availed_PY'!G34+'AT 4A enrolment vs availed_UPY'!G34</f>
        <v>90490</v>
      </c>
      <c r="D32" s="569">
        <v>84156</v>
      </c>
      <c r="E32" s="569">
        <v>6334</v>
      </c>
      <c r="F32" s="565">
        <v>0</v>
      </c>
      <c r="G32" s="565">
        <v>0</v>
      </c>
      <c r="H32" s="555"/>
      <c r="I32" s="555"/>
    </row>
    <row r="33" spans="1:7" ht="15">
      <c r="A33" s="581">
        <v>25</v>
      </c>
      <c r="B33" s="586" t="s">
        <v>736</v>
      </c>
      <c r="C33" s="569">
        <f>'AT 4 enrolment vs availed_PY'!G35+'AT 4A enrolment vs availed_UPY'!G35</f>
        <v>37484</v>
      </c>
      <c r="D33" s="288">
        <v>28863</v>
      </c>
      <c r="E33" s="288">
        <v>8621</v>
      </c>
      <c r="F33" s="565">
        <f>C33-D33-E33</f>
        <v>0</v>
      </c>
      <c r="G33" s="18">
        <v>0</v>
      </c>
    </row>
    <row r="34" spans="1:7" ht="15">
      <c r="A34" s="581">
        <v>26</v>
      </c>
      <c r="B34" s="586" t="s">
        <v>744</v>
      </c>
      <c r="C34" s="569">
        <f>'AT 4 enrolment vs availed_PY'!G36+'AT 4A enrolment vs availed_UPY'!G36</f>
        <v>40567</v>
      </c>
      <c r="D34" s="288">
        <v>39350</v>
      </c>
      <c r="E34" s="569">
        <v>1217</v>
      </c>
      <c r="F34" s="565">
        <f>C34-D34-E34</f>
        <v>0</v>
      </c>
      <c r="G34" s="18">
        <v>0</v>
      </c>
    </row>
    <row r="35" spans="1:7" ht="15">
      <c r="A35" s="581">
        <v>27</v>
      </c>
      <c r="B35" s="586" t="s">
        <v>745</v>
      </c>
      <c r="C35" s="569">
        <f>'AT 4 enrolment vs availed_PY'!G37+'AT 4A enrolment vs availed_UPY'!G37</f>
        <v>108730</v>
      </c>
      <c r="D35" s="288">
        <v>108730</v>
      </c>
      <c r="E35" s="569">
        <v>0</v>
      </c>
      <c r="F35" s="566">
        <v>0</v>
      </c>
      <c r="G35" s="18">
        <v>0</v>
      </c>
    </row>
    <row r="36" spans="1:7" ht="15">
      <c r="A36" s="296"/>
      <c r="B36" s="770" t="s">
        <v>19</v>
      </c>
      <c r="C36" s="571">
        <f>SUM(C9:C35)</f>
        <v>3041123</v>
      </c>
      <c r="D36" s="571">
        <f>SUM(D9:D35)</f>
        <v>2927677</v>
      </c>
      <c r="E36" s="571">
        <f>SUM(E9:E35)</f>
        <v>113446</v>
      </c>
      <c r="F36" s="568">
        <f>SUM(F9:F35)</f>
        <v>0</v>
      </c>
      <c r="G36" s="568">
        <f>SUM(G9:G35)</f>
        <v>0</v>
      </c>
    </row>
    <row r="40" spans="1:7" ht="12.75">
      <c r="A40" s="555"/>
      <c r="B40" s="555"/>
      <c r="C40" s="555"/>
      <c r="D40" s="555"/>
      <c r="E40" s="976" t="s">
        <v>13</v>
      </c>
      <c r="F40" s="976"/>
      <c r="G40" s="556"/>
    </row>
    <row r="41" spans="1:7" ht="12.75">
      <c r="A41" s="555"/>
      <c r="B41" s="555"/>
      <c r="C41" s="555"/>
      <c r="D41" s="555"/>
      <c r="E41" s="976" t="s">
        <v>14</v>
      </c>
      <c r="F41" s="976"/>
      <c r="G41" s="556"/>
    </row>
    <row r="42" spans="1:7" ht="12.75">
      <c r="A42" s="555"/>
      <c r="B42" s="555"/>
      <c r="C42" s="555"/>
      <c r="D42" s="555"/>
      <c r="E42" s="976" t="s">
        <v>662</v>
      </c>
      <c r="F42" s="976"/>
      <c r="G42" s="556"/>
    </row>
    <row r="43" spans="1:7" ht="12.75">
      <c r="A43" s="555" t="s">
        <v>12</v>
      </c>
      <c r="C43" s="555"/>
      <c r="D43" s="555"/>
      <c r="E43" s="555"/>
      <c r="F43" s="557" t="s">
        <v>84</v>
      </c>
      <c r="G43" s="558"/>
    </row>
    <row r="44" spans="1:7" ht="12.75">
      <c r="A44" s="555"/>
      <c r="B44" s="555"/>
      <c r="C44" s="555"/>
      <c r="D44" s="555"/>
      <c r="E44" s="555"/>
      <c r="F44" s="555"/>
      <c r="G44" s="555"/>
    </row>
  </sheetData>
  <sheetProtection/>
  <mergeCells count="6">
    <mergeCell ref="E42:F42"/>
    <mergeCell ref="A1:E1"/>
    <mergeCell ref="A2:F2"/>
    <mergeCell ref="A4:F4"/>
    <mergeCell ref="E40:F40"/>
    <mergeCell ref="E41:F4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49"/>
  <sheetViews>
    <sheetView view="pageBreakPreview" zoomScale="90" zoomScaleSheetLayoutView="90" zoomScalePageLayoutView="0" workbookViewId="0" topLeftCell="F1">
      <selection activeCell="L1" sqref="L1:U16384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11.00390625" style="15" customWidth="1"/>
    <col min="4" max="4" width="10.00390625" style="15" customWidth="1"/>
    <col min="5" max="5" width="15.28125" style="15" customWidth="1"/>
    <col min="6" max="6" width="14.8515625" style="15" customWidth="1"/>
    <col min="7" max="7" width="13.28125" style="15" customWidth="1"/>
    <col min="8" max="8" width="14.7109375" style="15" customWidth="1"/>
    <col min="9" max="9" width="16.7109375" style="15" customWidth="1"/>
    <col min="10" max="10" width="19.28125" style="15" customWidth="1"/>
    <col min="11" max="11" width="11.57421875" style="15" customWidth="1"/>
    <col min="12" max="16384" width="9.140625" style="15" customWidth="1"/>
  </cols>
  <sheetData>
    <row r="1" spans="5:10" ht="12.75">
      <c r="E1" s="853"/>
      <c r="F1" s="853"/>
      <c r="G1" s="853"/>
      <c r="H1" s="853"/>
      <c r="I1" s="853"/>
      <c r="J1" s="134" t="s">
        <v>62</v>
      </c>
    </row>
    <row r="2" spans="1:10" ht="15">
      <c r="A2" s="969" t="s">
        <v>0</v>
      </c>
      <c r="B2" s="969"/>
      <c r="C2" s="969"/>
      <c r="D2" s="969"/>
      <c r="E2" s="969"/>
      <c r="F2" s="969"/>
      <c r="G2" s="969"/>
      <c r="H2" s="969"/>
      <c r="I2" s="969"/>
      <c r="J2" s="969"/>
    </row>
    <row r="3" spans="1:10" ht="20.25">
      <c r="A3" s="902" t="s">
        <v>859</v>
      </c>
      <c r="B3" s="902"/>
      <c r="C3" s="902"/>
      <c r="D3" s="902"/>
      <c r="E3" s="902"/>
      <c r="F3" s="902"/>
      <c r="G3" s="902"/>
      <c r="H3" s="902"/>
      <c r="I3" s="902"/>
      <c r="J3" s="902"/>
    </row>
    <row r="4" ht="14.25" customHeight="1"/>
    <row r="5" spans="1:10" ht="31.5" customHeight="1">
      <c r="A5" s="971" t="s">
        <v>908</v>
      </c>
      <c r="B5" s="971"/>
      <c r="C5" s="971"/>
      <c r="D5" s="971"/>
      <c r="E5" s="971"/>
      <c r="F5" s="971"/>
      <c r="G5" s="971"/>
      <c r="H5" s="971"/>
      <c r="I5" s="971"/>
      <c r="J5" s="971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898" t="s">
        <v>636</v>
      </c>
      <c r="B8" s="898"/>
      <c r="C8" s="31"/>
      <c r="H8" s="961" t="s">
        <v>906</v>
      </c>
      <c r="I8" s="961"/>
      <c r="J8" s="961"/>
    </row>
    <row r="9" spans="1:10" ht="12.75">
      <c r="A9" s="871" t="s">
        <v>2</v>
      </c>
      <c r="B9" s="871" t="s">
        <v>3</v>
      </c>
      <c r="C9" s="867" t="s">
        <v>909</v>
      </c>
      <c r="D9" s="868"/>
      <c r="E9" s="868"/>
      <c r="F9" s="869"/>
      <c r="G9" s="867" t="s">
        <v>104</v>
      </c>
      <c r="H9" s="868"/>
      <c r="I9" s="868"/>
      <c r="J9" s="869"/>
    </row>
    <row r="10" spans="1:10" ht="49.5" customHeight="1">
      <c r="A10" s="871"/>
      <c r="B10" s="871"/>
      <c r="C10" s="5" t="s">
        <v>201</v>
      </c>
      <c r="D10" s="5" t="s">
        <v>17</v>
      </c>
      <c r="E10" s="216" t="s">
        <v>931</v>
      </c>
      <c r="F10" s="7" t="s">
        <v>218</v>
      </c>
      <c r="G10" s="5" t="s">
        <v>201</v>
      </c>
      <c r="H10" s="25" t="s">
        <v>18</v>
      </c>
      <c r="I10" s="104" t="s">
        <v>112</v>
      </c>
      <c r="J10" s="5" t="s">
        <v>219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1">
        <v>8</v>
      </c>
      <c r="I11" s="5">
        <v>9</v>
      </c>
      <c r="J11" s="5">
        <v>10</v>
      </c>
    </row>
    <row r="12" spans="1:11" ht="14.25" customHeight="1">
      <c r="A12" s="581">
        <v>1</v>
      </c>
      <c r="B12" s="586" t="s">
        <v>898</v>
      </c>
      <c r="C12" s="300">
        <f>'AT3A_cvrg(Insti)_PY'!H12</f>
        <v>1412</v>
      </c>
      <c r="D12" s="9">
        <v>54376</v>
      </c>
      <c r="E12" s="105">
        <v>240</v>
      </c>
      <c r="F12" s="302">
        <f aca="true" t="shared" si="0" ref="F12:F35">D12*E12</f>
        <v>13050240</v>
      </c>
      <c r="G12" s="290">
        <f>'AT3A_cvrg(Insti)_PY'!H12</f>
        <v>1412</v>
      </c>
      <c r="H12" s="303">
        <v>11640065</v>
      </c>
      <c r="I12" s="605">
        <v>225</v>
      </c>
      <c r="J12" s="476">
        <f>ROUND(H12/I12,0)</f>
        <v>51734</v>
      </c>
      <c r="K12" s="376"/>
    </row>
    <row r="13" spans="1:11" ht="14.25" customHeight="1">
      <c r="A13" s="581">
        <v>2</v>
      </c>
      <c r="B13" s="586" t="s">
        <v>899</v>
      </c>
      <c r="C13" s="300">
        <f>'AT3A_cvrg(Insti)_PY'!H13</f>
        <v>1395</v>
      </c>
      <c r="D13" s="9">
        <v>62998</v>
      </c>
      <c r="E13" s="105">
        <v>240</v>
      </c>
      <c r="F13" s="302">
        <f t="shared" si="0"/>
        <v>15119520</v>
      </c>
      <c r="G13" s="290">
        <f>'AT3A_cvrg(Insti)_PY'!H13</f>
        <v>1395</v>
      </c>
      <c r="H13" s="303">
        <v>13514055</v>
      </c>
      <c r="I13" s="605">
        <v>227</v>
      </c>
      <c r="J13" s="476">
        <f aca="true" t="shared" si="1" ref="J13:J38">ROUND(H13/I13,0)</f>
        <v>59533</v>
      </c>
      <c r="K13" s="376"/>
    </row>
    <row r="14" spans="1:11" ht="14.25" customHeight="1">
      <c r="A14" s="581">
        <v>3</v>
      </c>
      <c r="B14" s="586" t="s">
        <v>839</v>
      </c>
      <c r="C14" s="300">
        <f>'AT3A_cvrg(Insti)_PY'!H14</f>
        <v>1360</v>
      </c>
      <c r="D14" s="9">
        <v>51440</v>
      </c>
      <c r="E14" s="105">
        <v>240</v>
      </c>
      <c r="F14" s="302">
        <f t="shared" si="0"/>
        <v>12345600</v>
      </c>
      <c r="G14" s="290">
        <f>'AT3A_cvrg(Insti)_PY'!H14</f>
        <v>1360</v>
      </c>
      <c r="H14" s="303">
        <v>10527735</v>
      </c>
      <c r="I14" s="605">
        <v>225</v>
      </c>
      <c r="J14" s="476">
        <f t="shared" si="1"/>
        <v>46790</v>
      </c>
      <c r="K14" s="376"/>
    </row>
    <row r="15" spans="1:11" ht="14.25" customHeight="1">
      <c r="A15" s="581">
        <v>4</v>
      </c>
      <c r="B15" s="586" t="s">
        <v>743</v>
      </c>
      <c r="C15" s="300">
        <f>'AT3A_cvrg(Insti)_PY'!H15</f>
        <v>1718</v>
      </c>
      <c r="D15" s="9">
        <v>127627</v>
      </c>
      <c r="E15" s="105">
        <v>240</v>
      </c>
      <c r="F15" s="302">
        <f t="shared" si="0"/>
        <v>30630480</v>
      </c>
      <c r="G15" s="290">
        <f>'AT3A_cvrg(Insti)_PY'!H15</f>
        <v>1718</v>
      </c>
      <c r="H15" s="303">
        <v>26192846</v>
      </c>
      <c r="I15" s="605">
        <v>227</v>
      </c>
      <c r="J15" s="476">
        <f t="shared" si="1"/>
        <v>115387</v>
      </c>
      <c r="K15" s="376"/>
    </row>
    <row r="16" spans="1:11" ht="14.25" customHeight="1">
      <c r="A16" s="581">
        <v>5</v>
      </c>
      <c r="B16" s="586" t="s">
        <v>748</v>
      </c>
      <c r="C16" s="300">
        <f>'AT3A_cvrg(Insti)_PY'!H16</f>
        <v>1985</v>
      </c>
      <c r="D16" s="9">
        <v>80757</v>
      </c>
      <c r="E16" s="105">
        <v>240</v>
      </c>
      <c r="F16" s="302">
        <f t="shared" si="0"/>
        <v>19381680</v>
      </c>
      <c r="G16" s="290">
        <f>'AT3A_cvrg(Insti)_PY'!H16</f>
        <v>1985</v>
      </c>
      <c r="H16" s="303">
        <v>16853168</v>
      </c>
      <c r="I16" s="605">
        <v>228</v>
      </c>
      <c r="J16" s="476">
        <f t="shared" si="1"/>
        <v>73917</v>
      </c>
      <c r="K16" s="376"/>
    </row>
    <row r="17" spans="1:11" ht="14.25" customHeight="1">
      <c r="A17" s="581">
        <v>6</v>
      </c>
      <c r="B17" s="586" t="s">
        <v>747</v>
      </c>
      <c r="C17" s="300">
        <f>'AT3A_cvrg(Insti)_PY'!H17</f>
        <v>1862</v>
      </c>
      <c r="D17" s="9">
        <v>107208</v>
      </c>
      <c r="E17" s="105">
        <v>240</v>
      </c>
      <c r="F17" s="302">
        <f t="shared" si="0"/>
        <v>25729920</v>
      </c>
      <c r="G17" s="290">
        <f>'AT3A_cvrg(Insti)_PY'!H17</f>
        <v>1862</v>
      </c>
      <c r="H17" s="303">
        <v>21685588</v>
      </c>
      <c r="I17" s="605">
        <v>227</v>
      </c>
      <c r="J17" s="476">
        <f t="shared" si="1"/>
        <v>95531</v>
      </c>
      <c r="K17" s="376"/>
    </row>
    <row r="18" spans="1:11" ht="14.25" customHeight="1">
      <c r="A18" s="581">
        <v>7</v>
      </c>
      <c r="B18" s="586" t="s">
        <v>737</v>
      </c>
      <c r="C18" s="300">
        <f>'AT3A_cvrg(Insti)_PY'!H18</f>
        <v>609</v>
      </c>
      <c r="D18" s="9">
        <v>58238</v>
      </c>
      <c r="E18" s="105">
        <v>240</v>
      </c>
      <c r="F18" s="302">
        <f t="shared" si="0"/>
        <v>13977120</v>
      </c>
      <c r="G18" s="290">
        <f>'AT3A_cvrg(Insti)_PY'!H18</f>
        <v>609</v>
      </c>
      <c r="H18" s="303">
        <v>12513320</v>
      </c>
      <c r="I18" s="605">
        <v>228</v>
      </c>
      <c r="J18" s="476">
        <f t="shared" si="1"/>
        <v>54883</v>
      </c>
      <c r="K18" s="376"/>
    </row>
    <row r="19" spans="1:11" ht="14.25" customHeight="1">
      <c r="A19" s="581">
        <v>8</v>
      </c>
      <c r="B19" s="586" t="s">
        <v>749</v>
      </c>
      <c r="C19" s="300">
        <f>'AT3A_cvrg(Insti)_PY'!H19</f>
        <v>799</v>
      </c>
      <c r="D19" s="9">
        <v>89812</v>
      </c>
      <c r="E19" s="105">
        <v>240</v>
      </c>
      <c r="F19" s="302">
        <f t="shared" si="0"/>
        <v>21554880</v>
      </c>
      <c r="G19" s="290">
        <f>'AT3A_cvrg(Insti)_PY'!H19</f>
        <v>799</v>
      </c>
      <c r="H19" s="303">
        <v>18338233</v>
      </c>
      <c r="I19" s="605">
        <v>228</v>
      </c>
      <c r="J19" s="476">
        <f t="shared" si="1"/>
        <v>80431</v>
      </c>
      <c r="K19" s="376"/>
    </row>
    <row r="20" spans="1:11" ht="14.25" customHeight="1">
      <c r="A20" s="581">
        <v>9</v>
      </c>
      <c r="B20" s="586" t="s">
        <v>834</v>
      </c>
      <c r="C20" s="300">
        <f>'AT3A_cvrg(Insti)_PY'!H20</f>
        <v>1545</v>
      </c>
      <c r="D20" s="9">
        <v>60781</v>
      </c>
      <c r="E20" s="105">
        <v>240</v>
      </c>
      <c r="F20" s="302">
        <f t="shared" si="0"/>
        <v>14587440</v>
      </c>
      <c r="G20" s="290">
        <f>'AT3A_cvrg(Insti)_PY'!H20</f>
        <v>1545</v>
      </c>
      <c r="H20" s="303">
        <v>12676686</v>
      </c>
      <c r="I20" s="605">
        <v>226</v>
      </c>
      <c r="J20" s="476">
        <f t="shared" si="1"/>
        <v>56092</v>
      </c>
      <c r="K20" s="376"/>
    </row>
    <row r="21" spans="1:11" ht="14.25" customHeight="1">
      <c r="A21" s="581">
        <v>10</v>
      </c>
      <c r="B21" s="586" t="s">
        <v>739</v>
      </c>
      <c r="C21" s="300">
        <f>'AT3A_cvrg(Insti)_PY'!H21</f>
        <v>424</v>
      </c>
      <c r="D21" s="9">
        <v>14449</v>
      </c>
      <c r="E21" s="105">
        <v>240</v>
      </c>
      <c r="F21" s="302">
        <f t="shared" si="0"/>
        <v>3467760</v>
      </c>
      <c r="G21" s="290">
        <f>'AT3A_cvrg(Insti)_PY'!H21</f>
        <v>424</v>
      </c>
      <c r="H21" s="303">
        <v>3330623</v>
      </c>
      <c r="I21" s="605">
        <v>224</v>
      </c>
      <c r="J21" s="476">
        <f t="shared" si="1"/>
        <v>14869</v>
      </c>
      <c r="K21" s="376"/>
    </row>
    <row r="22" spans="1:11" ht="14.25" customHeight="1">
      <c r="A22" s="581">
        <v>11</v>
      </c>
      <c r="B22" s="586" t="s">
        <v>900</v>
      </c>
      <c r="C22" s="300">
        <f>'AT3A_cvrg(Insti)_PY'!H22</f>
        <v>766</v>
      </c>
      <c r="D22" s="9">
        <v>24229</v>
      </c>
      <c r="E22" s="105">
        <v>240</v>
      </c>
      <c r="F22" s="302">
        <f t="shared" si="0"/>
        <v>5814960</v>
      </c>
      <c r="G22" s="290">
        <f>'AT3A_cvrg(Insti)_PY'!H22</f>
        <v>766</v>
      </c>
      <c r="H22" s="303">
        <v>4824651</v>
      </c>
      <c r="I22" s="605">
        <v>207</v>
      </c>
      <c r="J22" s="476">
        <f t="shared" si="1"/>
        <v>23307</v>
      </c>
      <c r="K22" s="376"/>
    </row>
    <row r="23" spans="1:11" ht="14.25" customHeight="1">
      <c r="A23" s="581">
        <v>12</v>
      </c>
      <c r="B23" s="586" t="s">
        <v>731</v>
      </c>
      <c r="C23" s="300">
        <f>'AT3A_cvrg(Insti)_PY'!H23</f>
        <v>1229</v>
      </c>
      <c r="D23" s="9">
        <v>48225</v>
      </c>
      <c r="E23" s="105">
        <v>240</v>
      </c>
      <c r="F23" s="302">
        <f t="shared" si="0"/>
        <v>11574000</v>
      </c>
      <c r="G23" s="290">
        <f>'AT3A_cvrg(Insti)_PY'!H23</f>
        <v>1229</v>
      </c>
      <c r="H23" s="303">
        <v>10865394</v>
      </c>
      <c r="I23" s="19">
        <v>222</v>
      </c>
      <c r="J23" s="476">
        <f t="shared" si="1"/>
        <v>48943</v>
      </c>
      <c r="K23" s="376"/>
    </row>
    <row r="24" spans="1:11" ht="14.25" customHeight="1">
      <c r="A24" s="581">
        <v>13</v>
      </c>
      <c r="B24" s="586" t="s">
        <v>742</v>
      </c>
      <c r="C24" s="300">
        <f>'AT3A_cvrg(Insti)_PY'!H24</f>
        <v>826</v>
      </c>
      <c r="D24" s="9">
        <v>50608</v>
      </c>
      <c r="E24" s="105">
        <v>240</v>
      </c>
      <c r="F24" s="302">
        <f t="shared" si="0"/>
        <v>12145920</v>
      </c>
      <c r="G24" s="290">
        <f>'AT3A_cvrg(Insti)_PY'!H24</f>
        <v>826</v>
      </c>
      <c r="H24" s="303">
        <v>11378057</v>
      </c>
      <c r="I24" s="19">
        <v>232</v>
      </c>
      <c r="J24" s="476">
        <f t="shared" si="1"/>
        <v>49043</v>
      </c>
      <c r="K24" s="376"/>
    </row>
    <row r="25" spans="1:11" ht="14.25" customHeight="1">
      <c r="A25" s="581">
        <v>14</v>
      </c>
      <c r="B25" s="586" t="s">
        <v>740</v>
      </c>
      <c r="C25" s="300">
        <f>'AT3A_cvrg(Insti)_PY'!H25</f>
        <v>745</v>
      </c>
      <c r="D25" s="9">
        <v>66151</v>
      </c>
      <c r="E25" s="105">
        <v>240</v>
      </c>
      <c r="F25" s="302">
        <f t="shared" si="0"/>
        <v>15876240</v>
      </c>
      <c r="G25" s="290">
        <f>'AT3A_cvrg(Insti)_PY'!H25</f>
        <v>745</v>
      </c>
      <c r="H25" s="303">
        <v>13731588</v>
      </c>
      <c r="I25" s="19">
        <v>225</v>
      </c>
      <c r="J25" s="476">
        <f t="shared" si="1"/>
        <v>61029</v>
      </c>
      <c r="K25" s="376"/>
    </row>
    <row r="26" spans="1:11" ht="14.25" customHeight="1">
      <c r="A26" s="581">
        <v>15</v>
      </c>
      <c r="B26" s="586" t="s">
        <v>734</v>
      </c>
      <c r="C26" s="300">
        <f>'AT3A_cvrg(Insti)_PY'!H26</f>
        <v>982</v>
      </c>
      <c r="D26" s="9">
        <v>45627</v>
      </c>
      <c r="E26" s="105">
        <v>240</v>
      </c>
      <c r="F26" s="302">
        <f t="shared" si="0"/>
        <v>10950480</v>
      </c>
      <c r="G26" s="290">
        <f>'AT3A_cvrg(Insti)_PY'!H26</f>
        <v>982</v>
      </c>
      <c r="H26" s="303">
        <v>9818568</v>
      </c>
      <c r="I26" s="19">
        <v>227</v>
      </c>
      <c r="J26" s="476">
        <f t="shared" si="1"/>
        <v>43254</v>
      </c>
      <c r="K26" s="376"/>
    </row>
    <row r="27" spans="1:11" ht="14.25" customHeight="1">
      <c r="A27" s="581">
        <v>16</v>
      </c>
      <c r="B27" s="586" t="s">
        <v>741</v>
      </c>
      <c r="C27" s="300">
        <f>'AT3A_cvrg(Insti)_PY'!H27</f>
        <v>1192</v>
      </c>
      <c r="D27" s="9">
        <v>105592</v>
      </c>
      <c r="E27" s="105">
        <v>240</v>
      </c>
      <c r="F27" s="302">
        <f t="shared" si="0"/>
        <v>25342080</v>
      </c>
      <c r="G27" s="290">
        <f>'AT3A_cvrg(Insti)_PY'!H27</f>
        <v>1192</v>
      </c>
      <c r="H27" s="303">
        <v>22237089</v>
      </c>
      <c r="I27" s="19">
        <v>228</v>
      </c>
      <c r="J27" s="476">
        <f t="shared" si="1"/>
        <v>97531</v>
      </c>
      <c r="K27" s="376"/>
    </row>
    <row r="28" spans="1:11" ht="14.25" customHeight="1">
      <c r="A28" s="581">
        <v>17</v>
      </c>
      <c r="B28" s="586" t="s">
        <v>733</v>
      </c>
      <c r="C28" s="300">
        <f>'AT3A_cvrg(Insti)_PY'!H28</f>
        <v>966</v>
      </c>
      <c r="D28" s="9">
        <v>35975</v>
      </c>
      <c r="E28" s="105">
        <v>240</v>
      </c>
      <c r="F28" s="302">
        <f t="shared" si="0"/>
        <v>8634000</v>
      </c>
      <c r="G28" s="290">
        <f>'AT3A_cvrg(Insti)_PY'!H28</f>
        <v>966</v>
      </c>
      <c r="H28" s="303">
        <v>8157690</v>
      </c>
      <c r="I28" s="19">
        <v>228</v>
      </c>
      <c r="J28" s="476">
        <f t="shared" si="1"/>
        <v>35779</v>
      </c>
      <c r="K28" s="376"/>
    </row>
    <row r="29" spans="1:11" ht="14.25" customHeight="1">
      <c r="A29" s="581">
        <v>18</v>
      </c>
      <c r="B29" s="586" t="s">
        <v>735</v>
      </c>
      <c r="C29" s="300">
        <f>'AT3A_cvrg(Insti)_PY'!H29</f>
        <v>1552</v>
      </c>
      <c r="D29" s="9">
        <v>93256</v>
      </c>
      <c r="E29" s="105">
        <v>240</v>
      </c>
      <c r="F29" s="302">
        <f t="shared" si="0"/>
        <v>22381440</v>
      </c>
      <c r="G29" s="290">
        <f>'AT3A_cvrg(Insti)_PY'!H29</f>
        <v>1552</v>
      </c>
      <c r="H29" s="303">
        <v>19206945</v>
      </c>
      <c r="I29" s="19">
        <v>223</v>
      </c>
      <c r="J29" s="476">
        <f t="shared" si="1"/>
        <v>86130</v>
      </c>
      <c r="K29" s="376"/>
    </row>
    <row r="30" spans="1:11" ht="14.25" customHeight="1">
      <c r="A30" s="581">
        <v>19</v>
      </c>
      <c r="B30" s="586" t="s">
        <v>732</v>
      </c>
      <c r="C30" s="300">
        <f>'AT3A_cvrg(Insti)_PY'!H30</f>
        <v>1495</v>
      </c>
      <c r="D30" s="9">
        <v>66225</v>
      </c>
      <c r="E30" s="105">
        <v>240</v>
      </c>
      <c r="F30" s="302">
        <f t="shared" si="0"/>
        <v>15894000</v>
      </c>
      <c r="G30" s="290">
        <f>'AT3A_cvrg(Insti)_PY'!H30</f>
        <v>1495</v>
      </c>
      <c r="H30" s="303">
        <v>13978499</v>
      </c>
      <c r="I30" s="19">
        <v>223</v>
      </c>
      <c r="J30" s="476">
        <f t="shared" si="1"/>
        <v>62684</v>
      </c>
      <c r="K30" s="376"/>
    </row>
    <row r="31" spans="1:11" ht="14.25" customHeight="1">
      <c r="A31" s="581">
        <v>20</v>
      </c>
      <c r="B31" s="586" t="s">
        <v>836</v>
      </c>
      <c r="C31" s="300">
        <f>'AT3A_cvrg(Insti)_PY'!H31</f>
        <v>1746</v>
      </c>
      <c r="D31" s="9">
        <v>68643</v>
      </c>
      <c r="E31" s="105">
        <v>240</v>
      </c>
      <c r="F31" s="302">
        <f t="shared" si="0"/>
        <v>16474320</v>
      </c>
      <c r="G31" s="290">
        <f>'AT3A_cvrg(Insti)_PY'!H31</f>
        <v>1746</v>
      </c>
      <c r="H31" s="303">
        <v>13785855</v>
      </c>
      <c r="I31" s="19">
        <v>226</v>
      </c>
      <c r="J31" s="476">
        <f t="shared" si="1"/>
        <v>60999</v>
      </c>
      <c r="K31" s="376"/>
    </row>
    <row r="32" spans="1:11" ht="14.25" customHeight="1">
      <c r="A32" s="581">
        <v>21</v>
      </c>
      <c r="B32" s="586" t="s">
        <v>729</v>
      </c>
      <c r="C32" s="300">
        <f>'AT3A_cvrg(Insti)_PY'!H32</f>
        <v>985</v>
      </c>
      <c r="D32" s="9">
        <v>67898</v>
      </c>
      <c r="E32" s="105">
        <v>240</v>
      </c>
      <c r="F32" s="302">
        <f t="shared" si="0"/>
        <v>16295520</v>
      </c>
      <c r="G32" s="290">
        <f>'AT3A_cvrg(Insti)_PY'!H32</f>
        <v>985</v>
      </c>
      <c r="H32" s="303">
        <v>15435106</v>
      </c>
      <c r="I32" s="19">
        <v>225</v>
      </c>
      <c r="J32" s="476">
        <f t="shared" si="1"/>
        <v>68600</v>
      </c>
      <c r="K32" s="376"/>
    </row>
    <row r="33" spans="1:11" ht="14.25" customHeight="1">
      <c r="A33" s="581">
        <v>22</v>
      </c>
      <c r="B33" s="586" t="s">
        <v>746</v>
      </c>
      <c r="C33" s="300">
        <f>'AT3A_cvrg(Insti)_PY'!H33</f>
        <v>1307</v>
      </c>
      <c r="D33" s="9">
        <v>71729</v>
      </c>
      <c r="E33" s="105">
        <v>240</v>
      </c>
      <c r="F33" s="302">
        <f t="shared" si="0"/>
        <v>17214960</v>
      </c>
      <c r="G33" s="290">
        <f>'AT3A_cvrg(Insti)_PY'!H33</f>
        <v>1307</v>
      </c>
      <c r="H33" s="303">
        <v>16096157</v>
      </c>
      <c r="I33" s="19">
        <v>230</v>
      </c>
      <c r="J33" s="476">
        <f t="shared" si="1"/>
        <v>69983</v>
      </c>
      <c r="K33" s="376"/>
    </row>
    <row r="34" spans="1:11" ht="14.25" customHeight="1">
      <c r="A34" s="581">
        <v>23</v>
      </c>
      <c r="B34" s="586" t="s">
        <v>738</v>
      </c>
      <c r="C34" s="300">
        <f>'AT3A_cvrg(Insti)_PY'!H34</f>
        <v>884</v>
      </c>
      <c r="D34" s="9">
        <v>50297</v>
      </c>
      <c r="E34" s="105">
        <v>240</v>
      </c>
      <c r="F34" s="302">
        <f t="shared" si="0"/>
        <v>12071280</v>
      </c>
      <c r="G34" s="290">
        <f>'AT3A_cvrg(Insti)_PY'!H34</f>
        <v>884</v>
      </c>
      <c r="H34" s="303">
        <v>10763653</v>
      </c>
      <c r="I34" s="19">
        <v>228</v>
      </c>
      <c r="J34" s="476">
        <f t="shared" si="1"/>
        <v>47209</v>
      </c>
      <c r="K34" s="376"/>
    </row>
    <row r="35" spans="1:11" ht="14.25" customHeight="1">
      <c r="A35" s="581">
        <v>24</v>
      </c>
      <c r="B35" s="586" t="s">
        <v>730</v>
      </c>
      <c r="C35" s="300">
        <f>'AT3A_cvrg(Insti)_PY'!H35</f>
        <v>1592</v>
      </c>
      <c r="D35" s="9">
        <v>54536</v>
      </c>
      <c r="E35" s="105">
        <v>240</v>
      </c>
      <c r="F35" s="302">
        <f t="shared" si="0"/>
        <v>13088640</v>
      </c>
      <c r="G35" s="290">
        <f>'AT3A_cvrg(Insti)_PY'!H35</f>
        <v>1592</v>
      </c>
      <c r="H35" s="303">
        <v>11787769</v>
      </c>
      <c r="I35" s="19">
        <v>228</v>
      </c>
      <c r="J35" s="476">
        <f t="shared" si="1"/>
        <v>51701</v>
      </c>
      <c r="K35" s="376"/>
    </row>
    <row r="36" spans="1:11" ht="14.25" customHeight="1">
      <c r="A36" s="581">
        <v>25</v>
      </c>
      <c r="B36" s="586" t="s">
        <v>736</v>
      </c>
      <c r="C36" s="300">
        <f>'AT3A_cvrg(Insti)_PY'!H36</f>
        <v>647</v>
      </c>
      <c r="D36" s="9">
        <v>23229</v>
      </c>
      <c r="E36" s="105">
        <v>240</v>
      </c>
      <c r="F36" s="302">
        <f>D36*E38</f>
        <v>5574960</v>
      </c>
      <c r="G36" s="290">
        <f>'AT3A_cvrg(Insti)_PY'!H37</f>
        <v>680</v>
      </c>
      <c r="H36" s="303">
        <v>5760053</v>
      </c>
      <c r="I36" s="19">
        <v>228</v>
      </c>
      <c r="J36" s="476">
        <f t="shared" si="1"/>
        <v>25263</v>
      </c>
      <c r="K36" s="376"/>
    </row>
    <row r="37" spans="1:11" ht="14.25" customHeight="1">
      <c r="A37" s="581">
        <v>26</v>
      </c>
      <c r="B37" s="586" t="s">
        <v>744</v>
      </c>
      <c r="C37" s="300">
        <f>'AT3A_cvrg(Insti)_PY'!H37</f>
        <v>680</v>
      </c>
      <c r="D37" s="9">
        <v>30048</v>
      </c>
      <c r="E37" s="105">
        <v>240</v>
      </c>
      <c r="F37" s="302">
        <f>D37*E36</f>
        <v>7211520</v>
      </c>
      <c r="G37" s="290">
        <f>'AT3A_cvrg(Insti)_PY'!H38</f>
        <v>666</v>
      </c>
      <c r="H37" s="303">
        <v>5634267</v>
      </c>
      <c r="I37" s="19">
        <v>205</v>
      </c>
      <c r="J37" s="476">
        <f t="shared" si="1"/>
        <v>27484</v>
      </c>
      <c r="K37" s="376"/>
    </row>
    <row r="38" spans="1:11" ht="14.25" customHeight="1">
      <c r="A38" s="581">
        <v>27</v>
      </c>
      <c r="B38" s="586" t="s">
        <v>745</v>
      </c>
      <c r="C38" s="300">
        <f>'AT3A_cvrg(Insti)_PY'!H38</f>
        <v>666</v>
      </c>
      <c r="D38" s="9">
        <v>57869</v>
      </c>
      <c r="E38" s="105">
        <v>240</v>
      </c>
      <c r="F38" s="302">
        <f>D38*E37</f>
        <v>13888560</v>
      </c>
      <c r="G38" s="290">
        <f>'AT3A_cvrg(Insti)_PY'!H36</f>
        <v>647</v>
      </c>
      <c r="H38" s="303">
        <v>12882836</v>
      </c>
      <c r="I38" s="19">
        <v>228</v>
      </c>
      <c r="J38" s="476">
        <f t="shared" si="1"/>
        <v>56504</v>
      </c>
      <c r="K38" s="376"/>
    </row>
    <row r="39" spans="1:11" ht="12.75">
      <c r="A39" s="3" t="s">
        <v>19</v>
      </c>
      <c r="B39" s="29"/>
      <c r="C39" s="29">
        <f>SUM(C12:C38)</f>
        <v>31369</v>
      </c>
      <c r="D39" s="29">
        <f aca="true" t="shared" si="2" ref="D39:J39">SUM(D12:D38)</f>
        <v>1667823</v>
      </c>
      <c r="E39" s="160">
        <v>240</v>
      </c>
      <c r="F39" s="29">
        <f t="shared" si="2"/>
        <v>400277520</v>
      </c>
      <c r="G39" s="29">
        <f t="shared" si="2"/>
        <v>31369</v>
      </c>
      <c r="H39" s="29">
        <f t="shared" si="2"/>
        <v>353616496</v>
      </c>
      <c r="I39" s="29">
        <v>226</v>
      </c>
      <c r="J39" s="477">
        <f t="shared" si="2"/>
        <v>1564610</v>
      </c>
      <c r="K39" s="376"/>
    </row>
    <row r="40" spans="1:11" ht="12.75">
      <c r="A40" s="977" t="s">
        <v>1040</v>
      </c>
      <c r="B40" s="977"/>
      <c r="C40" s="977"/>
      <c r="D40" s="977"/>
      <c r="E40" s="977"/>
      <c r="F40" s="977"/>
      <c r="G40" s="977"/>
      <c r="H40" s="977"/>
      <c r="I40" s="977"/>
      <c r="J40" s="977"/>
      <c r="K40" s="21"/>
    </row>
    <row r="41" spans="1:10" ht="12.75">
      <c r="A41" s="11"/>
      <c r="B41" s="30"/>
      <c r="C41" s="30"/>
      <c r="E41" s="21"/>
      <c r="F41" s="21"/>
      <c r="G41" s="21"/>
      <c r="H41" s="21"/>
      <c r="I41" s="21"/>
      <c r="J41" s="21"/>
    </row>
    <row r="42" spans="1:10" ht="12.75">
      <c r="A42" s="11"/>
      <c r="B42" s="30"/>
      <c r="C42" s="30"/>
      <c r="D42" s="21"/>
      <c r="E42" s="21"/>
      <c r="F42" s="21"/>
      <c r="G42" s="21"/>
      <c r="H42" s="21"/>
      <c r="I42" s="21"/>
      <c r="J42" s="21"/>
    </row>
    <row r="43" spans="1:10" ht="15.75" customHeight="1">
      <c r="A43" s="14" t="s">
        <v>12</v>
      </c>
      <c r="B43" s="14"/>
      <c r="C43" s="14"/>
      <c r="D43" s="14"/>
      <c r="E43" s="14"/>
      <c r="F43" s="14"/>
      <c r="G43" s="881" t="s">
        <v>13</v>
      </c>
      <c r="H43" s="881"/>
      <c r="I43" s="83"/>
      <c r="J43" s="14"/>
    </row>
    <row r="44" spans="1:10" ht="12.75" customHeight="1">
      <c r="A44" s="83"/>
      <c r="B44" s="83"/>
      <c r="C44" s="83"/>
      <c r="D44" s="83"/>
      <c r="E44" s="83"/>
      <c r="F44" s="881" t="s">
        <v>14</v>
      </c>
      <c r="G44" s="881"/>
      <c r="H44" s="881"/>
      <c r="I44" s="881"/>
      <c r="J44" s="83"/>
    </row>
    <row r="45" spans="1:10" ht="12.75" customHeight="1">
      <c r="A45" s="83"/>
      <c r="B45" s="83"/>
      <c r="C45" s="83"/>
      <c r="D45" s="83"/>
      <c r="E45" s="881" t="s">
        <v>637</v>
      </c>
      <c r="F45" s="881"/>
      <c r="G45" s="881"/>
      <c r="H45" s="881"/>
      <c r="I45" s="881"/>
      <c r="J45" s="881"/>
    </row>
    <row r="46" spans="1:10" ht="12.75">
      <c r="A46" s="14"/>
      <c r="B46" s="14"/>
      <c r="C46" s="14"/>
      <c r="E46" s="14"/>
      <c r="F46" s="14"/>
      <c r="G46" s="1" t="s">
        <v>84</v>
      </c>
      <c r="H46" s="1"/>
      <c r="I46" s="1"/>
      <c r="J46" s="1"/>
    </row>
    <row r="49" ht="12.75">
      <c r="F49" s="21"/>
    </row>
  </sheetData>
  <sheetProtection/>
  <mergeCells count="14">
    <mergeCell ref="A9:A10"/>
    <mergeCell ref="B9:B10"/>
    <mergeCell ref="A8:B8"/>
    <mergeCell ref="A40:J40"/>
    <mergeCell ref="G43:H43"/>
    <mergeCell ref="F44:I44"/>
    <mergeCell ref="E45:J45"/>
    <mergeCell ref="E1:I1"/>
    <mergeCell ref="A2:J2"/>
    <mergeCell ref="A3:J3"/>
    <mergeCell ref="G9:J9"/>
    <mergeCell ref="C9:F9"/>
    <mergeCell ref="H8:J8"/>
    <mergeCell ref="A5:J5"/>
  </mergeCells>
  <printOptions horizontalCentered="1"/>
  <pageMargins left="0.7086614173228347" right="0.7086614173228347" top="0.45" bottom="0" header="0.46" footer="0.17"/>
  <pageSetup fitToHeight="1" fitToWidth="1" horizontalDpi="600" verticalDpi="6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J52"/>
  <sheetViews>
    <sheetView view="pageBreakPreview" zoomScale="90" zoomScaleSheetLayoutView="90" zoomScalePageLayoutView="0" workbookViewId="0" topLeftCell="A3">
      <selection activeCell="P28" sqref="P28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11.00390625" style="15" customWidth="1"/>
    <col min="4" max="4" width="10.00390625" style="15" customWidth="1"/>
    <col min="5" max="5" width="14.140625" style="15" customWidth="1"/>
    <col min="6" max="6" width="14.28125" style="15" customWidth="1"/>
    <col min="7" max="7" width="13.28125" style="15" customWidth="1"/>
    <col min="8" max="8" width="14.7109375" style="15" customWidth="1"/>
    <col min="9" max="9" width="16.7109375" style="15" customWidth="1"/>
    <col min="10" max="10" width="19.28125" style="15" customWidth="1"/>
    <col min="11" max="11" width="13.421875" style="15" customWidth="1"/>
    <col min="12" max="16384" width="9.140625" style="15" customWidth="1"/>
  </cols>
  <sheetData>
    <row r="1" spans="5:10" ht="12.75">
      <c r="E1" s="853"/>
      <c r="F1" s="853"/>
      <c r="G1" s="853"/>
      <c r="H1" s="853"/>
      <c r="I1" s="853"/>
      <c r="J1" s="134" t="s">
        <v>357</v>
      </c>
    </row>
    <row r="2" spans="1:10" ht="15">
      <c r="A2" s="969" t="s">
        <v>0</v>
      </c>
      <c r="B2" s="969"/>
      <c r="C2" s="969"/>
      <c r="D2" s="969"/>
      <c r="E2" s="969"/>
      <c r="F2" s="969"/>
      <c r="G2" s="969"/>
      <c r="H2" s="969"/>
      <c r="I2" s="969"/>
      <c r="J2" s="969"/>
    </row>
    <row r="3" spans="1:10" ht="20.25">
      <c r="A3" s="902" t="s">
        <v>859</v>
      </c>
      <c r="B3" s="902"/>
      <c r="C3" s="902"/>
      <c r="D3" s="902"/>
      <c r="E3" s="902"/>
      <c r="F3" s="902"/>
      <c r="G3" s="902"/>
      <c r="H3" s="902"/>
      <c r="I3" s="902"/>
      <c r="J3" s="902"/>
    </row>
    <row r="4" ht="14.25" customHeight="1"/>
    <row r="5" spans="1:10" ht="31.5" customHeight="1">
      <c r="A5" s="971" t="s">
        <v>1039</v>
      </c>
      <c r="B5" s="971"/>
      <c r="C5" s="971"/>
      <c r="D5" s="971"/>
      <c r="E5" s="971"/>
      <c r="F5" s="971"/>
      <c r="G5" s="971"/>
      <c r="H5" s="971"/>
      <c r="I5" s="971"/>
      <c r="J5" s="971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898" t="s">
        <v>636</v>
      </c>
      <c r="B8" s="898"/>
      <c r="C8" s="31"/>
      <c r="H8" s="961" t="s">
        <v>906</v>
      </c>
      <c r="I8" s="961"/>
      <c r="J8" s="961"/>
    </row>
    <row r="9" spans="1:10" ht="12.75">
      <c r="A9" s="871" t="s">
        <v>2</v>
      </c>
      <c r="B9" s="871" t="s">
        <v>3</v>
      </c>
      <c r="C9" s="867" t="s">
        <v>909</v>
      </c>
      <c r="D9" s="868"/>
      <c r="E9" s="868"/>
      <c r="F9" s="869"/>
      <c r="G9" s="867" t="s">
        <v>104</v>
      </c>
      <c r="H9" s="868"/>
      <c r="I9" s="868"/>
      <c r="J9" s="869"/>
    </row>
    <row r="10" spans="1:10" ht="53.25" customHeight="1">
      <c r="A10" s="871"/>
      <c r="B10" s="871"/>
      <c r="C10" s="5" t="s">
        <v>201</v>
      </c>
      <c r="D10" s="5" t="s">
        <v>17</v>
      </c>
      <c r="E10" s="216" t="s">
        <v>931</v>
      </c>
      <c r="F10" s="7" t="s">
        <v>218</v>
      </c>
      <c r="G10" s="5" t="s">
        <v>201</v>
      </c>
      <c r="H10" s="25" t="s">
        <v>18</v>
      </c>
      <c r="I10" s="104" t="s">
        <v>112</v>
      </c>
      <c r="J10" s="5" t="s">
        <v>219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1">
        <v>8</v>
      </c>
      <c r="I11" s="5">
        <v>9</v>
      </c>
      <c r="J11" s="5">
        <v>10</v>
      </c>
    </row>
    <row r="12" spans="1:10" ht="12.75">
      <c r="A12" s="581">
        <v>1</v>
      </c>
      <c r="B12" s="586" t="s">
        <v>898</v>
      </c>
      <c r="C12" s="301">
        <f>'AT3C_cvrg(Insti)_UPY '!G11</f>
        <v>564</v>
      </c>
      <c r="D12" s="498">
        <v>32869</v>
      </c>
      <c r="E12" s="305">
        <v>240</v>
      </c>
      <c r="F12" s="302">
        <f aca="true" t="shared" si="0" ref="F12:F38">D12*E12</f>
        <v>7888560</v>
      </c>
      <c r="G12" s="301">
        <f>'AT3C_cvrg(Insti)_UPY '!G11</f>
        <v>564</v>
      </c>
      <c r="H12" s="303">
        <v>6667224</v>
      </c>
      <c r="I12" s="605">
        <v>225</v>
      </c>
      <c r="J12" s="304">
        <f>ROUND(H12/I12,0)</f>
        <v>29632</v>
      </c>
    </row>
    <row r="13" spans="1:10" ht="12.75">
      <c r="A13" s="581">
        <v>2</v>
      </c>
      <c r="B13" s="586" t="s">
        <v>899</v>
      </c>
      <c r="C13" s="301">
        <f>'AT3C_cvrg(Insti)_UPY '!G12</f>
        <v>570</v>
      </c>
      <c r="D13" s="498">
        <v>36208</v>
      </c>
      <c r="E13" s="305">
        <v>240</v>
      </c>
      <c r="F13" s="302">
        <f t="shared" si="0"/>
        <v>8689920</v>
      </c>
      <c r="G13" s="301">
        <f>'AT3C_cvrg(Insti)_UPY '!G12</f>
        <v>570</v>
      </c>
      <c r="H13" s="303">
        <v>7334333</v>
      </c>
      <c r="I13" s="605">
        <v>227</v>
      </c>
      <c r="J13" s="304">
        <f aca="true" t="shared" si="1" ref="J13:J38">ROUND(H13/I13,0)</f>
        <v>32310</v>
      </c>
    </row>
    <row r="14" spans="1:10" ht="12.75">
      <c r="A14" s="581">
        <v>3</v>
      </c>
      <c r="B14" s="586" t="s">
        <v>839</v>
      </c>
      <c r="C14" s="301">
        <f>'AT3C_cvrg(Insti)_UPY '!G13</f>
        <v>575</v>
      </c>
      <c r="D14" s="498">
        <v>31418</v>
      </c>
      <c r="E14" s="305">
        <v>240</v>
      </c>
      <c r="F14" s="302">
        <f t="shared" si="0"/>
        <v>7540320</v>
      </c>
      <c r="G14" s="301">
        <f>'AT3C_cvrg(Insti)_UPY '!G13</f>
        <v>575</v>
      </c>
      <c r="H14" s="303">
        <v>6255195</v>
      </c>
      <c r="I14" s="605">
        <v>225</v>
      </c>
      <c r="J14" s="304">
        <f t="shared" si="1"/>
        <v>27801</v>
      </c>
    </row>
    <row r="15" spans="1:10" ht="12.75">
      <c r="A15" s="581">
        <v>4</v>
      </c>
      <c r="B15" s="586" t="s">
        <v>743</v>
      </c>
      <c r="C15" s="301">
        <f>'AT3C_cvrg(Insti)_UPY '!G14</f>
        <v>785</v>
      </c>
      <c r="D15" s="498">
        <v>85708</v>
      </c>
      <c r="E15" s="305">
        <v>240</v>
      </c>
      <c r="F15" s="302">
        <f t="shared" si="0"/>
        <v>20569920</v>
      </c>
      <c r="G15" s="301">
        <f>'AT3C_cvrg(Insti)_UPY '!G14</f>
        <v>785</v>
      </c>
      <c r="H15" s="303">
        <v>16761633</v>
      </c>
      <c r="I15" s="605">
        <v>227</v>
      </c>
      <c r="J15" s="304">
        <f t="shared" si="1"/>
        <v>73840</v>
      </c>
    </row>
    <row r="16" spans="1:10" ht="12.75">
      <c r="A16" s="581">
        <v>5</v>
      </c>
      <c r="B16" s="586" t="s">
        <v>748</v>
      </c>
      <c r="C16" s="301">
        <f>'AT3C_cvrg(Insti)_UPY '!G15</f>
        <v>919</v>
      </c>
      <c r="D16" s="498">
        <v>55043</v>
      </c>
      <c r="E16" s="305">
        <v>240</v>
      </c>
      <c r="F16" s="302">
        <f t="shared" si="0"/>
        <v>13210320</v>
      </c>
      <c r="G16" s="301">
        <f>'AT3C_cvrg(Insti)_UPY '!G15</f>
        <v>919</v>
      </c>
      <c r="H16" s="303">
        <v>10925428</v>
      </c>
      <c r="I16" s="605">
        <v>228</v>
      </c>
      <c r="J16" s="304">
        <f t="shared" si="1"/>
        <v>47919</v>
      </c>
    </row>
    <row r="17" spans="1:10" ht="12.75">
      <c r="A17" s="581">
        <v>6</v>
      </c>
      <c r="B17" s="586" t="s">
        <v>747</v>
      </c>
      <c r="C17" s="301">
        <f>'AT3C_cvrg(Insti)_UPY '!G16</f>
        <v>795</v>
      </c>
      <c r="D17" s="498">
        <v>73465</v>
      </c>
      <c r="E17" s="305">
        <v>240</v>
      </c>
      <c r="F17" s="302">
        <f t="shared" si="0"/>
        <v>17631600</v>
      </c>
      <c r="G17" s="301">
        <f>'AT3C_cvrg(Insti)_UPY '!G16</f>
        <v>795</v>
      </c>
      <c r="H17" s="303">
        <v>15071412</v>
      </c>
      <c r="I17" s="605">
        <v>227</v>
      </c>
      <c r="J17" s="304">
        <f t="shared" si="1"/>
        <v>66394</v>
      </c>
    </row>
    <row r="18" spans="1:10" ht="12.75">
      <c r="A18" s="581">
        <v>7</v>
      </c>
      <c r="B18" s="586" t="s">
        <v>737</v>
      </c>
      <c r="C18" s="301">
        <f>'AT3C_cvrg(Insti)_UPY '!G17</f>
        <v>360</v>
      </c>
      <c r="D18" s="498">
        <v>44648</v>
      </c>
      <c r="E18" s="305">
        <v>240</v>
      </c>
      <c r="F18" s="302">
        <f t="shared" si="0"/>
        <v>10715520</v>
      </c>
      <c r="G18" s="301">
        <f>'AT3C_cvrg(Insti)_UPY '!G17</f>
        <v>360</v>
      </c>
      <c r="H18" s="303">
        <v>8675260</v>
      </c>
      <c r="I18" s="605">
        <v>228</v>
      </c>
      <c r="J18" s="304">
        <f t="shared" si="1"/>
        <v>38049</v>
      </c>
    </row>
    <row r="19" spans="1:10" ht="12.75">
      <c r="A19" s="581">
        <v>8</v>
      </c>
      <c r="B19" s="586" t="s">
        <v>749</v>
      </c>
      <c r="C19" s="301">
        <f>'AT3C_cvrg(Insti)_UPY '!G18</f>
        <v>481</v>
      </c>
      <c r="D19" s="498">
        <v>67427</v>
      </c>
      <c r="E19" s="305">
        <v>240</v>
      </c>
      <c r="F19" s="302">
        <f t="shared" si="0"/>
        <v>16182480</v>
      </c>
      <c r="G19" s="301">
        <f>'AT3C_cvrg(Insti)_UPY '!G18</f>
        <v>481</v>
      </c>
      <c r="H19" s="303">
        <v>13482442</v>
      </c>
      <c r="I19" s="605">
        <v>228</v>
      </c>
      <c r="J19" s="304">
        <f t="shared" si="1"/>
        <v>59134</v>
      </c>
    </row>
    <row r="20" spans="1:10" ht="12.75">
      <c r="A20" s="581">
        <v>9</v>
      </c>
      <c r="B20" s="586" t="s">
        <v>834</v>
      </c>
      <c r="C20" s="301">
        <f>'AT3C_cvrg(Insti)_UPY '!G19</f>
        <v>647</v>
      </c>
      <c r="D20" s="498">
        <v>34445</v>
      </c>
      <c r="E20" s="305">
        <v>240</v>
      </c>
      <c r="F20" s="302">
        <f t="shared" si="0"/>
        <v>8266800</v>
      </c>
      <c r="G20" s="301">
        <f>'AT3C_cvrg(Insti)_UPY '!G19</f>
        <v>647</v>
      </c>
      <c r="H20" s="303">
        <v>7037079</v>
      </c>
      <c r="I20" s="605">
        <v>226</v>
      </c>
      <c r="J20" s="304">
        <f t="shared" si="1"/>
        <v>31138</v>
      </c>
    </row>
    <row r="21" spans="1:10" ht="12.75">
      <c r="A21" s="581">
        <v>10</v>
      </c>
      <c r="B21" s="586" t="s">
        <v>739</v>
      </c>
      <c r="C21" s="301">
        <f>'AT3C_cvrg(Insti)_UPY '!G20</f>
        <v>143</v>
      </c>
      <c r="D21" s="498">
        <v>6753</v>
      </c>
      <c r="E21" s="305">
        <v>240</v>
      </c>
      <c r="F21" s="302">
        <f t="shared" si="0"/>
        <v>1620720</v>
      </c>
      <c r="G21" s="301">
        <f>'AT3C_cvrg(Insti)_UPY '!G20</f>
        <v>143</v>
      </c>
      <c r="H21" s="303">
        <v>1428311</v>
      </c>
      <c r="I21" s="605">
        <v>224</v>
      </c>
      <c r="J21" s="304">
        <f t="shared" si="1"/>
        <v>6376</v>
      </c>
    </row>
    <row r="22" spans="1:10" ht="12.75">
      <c r="A22" s="581">
        <v>11</v>
      </c>
      <c r="B22" s="586" t="s">
        <v>900</v>
      </c>
      <c r="C22" s="301">
        <f>'AT3C_cvrg(Insti)_UPY '!G21</f>
        <v>217</v>
      </c>
      <c r="D22" s="498">
        <v>9113</v>
      </c>
      <c r="E22" s="305">
        <v>240</v>
      </c>
      <c r="F22" s="302">
        <f t="shared" si="0"/>
        <v>2187120</v>
      </c>
      <c r="G22" s="301">
        <f>'AT3C_cvrg(Insti)_UPY '!G21</f>
        <v>217</v>
      </c>
      <c r="H22" s="303">
        <v>1551916</v>
      </c>
      <c r="I22" s="605">
        <v>207</v>
      </c>
      <c r="J22" s="304">
        <f t="shared" si="1"/>
        <v>7497</v>
      </c>
    </row>
    <row r="23" spans="1:10" ht="12.75">
      <c r="A23" s="581">
        <v>12</v>
      </c>
      <c r="B23" s="586" t="s">
        <v>731</v>
      </c>
      <c r="C23" s="301">
        <f>'AT3C_cvrg(Insti)_UPY '!G22</f>
        <v>606</v>
      </c>
      <c r="D23" s="499">
        <v>32057</v>
      </c>
      <c r="E23" s="305">
        <v>240</v>
      </c>
      <c r="F23" s="302">
        <f t="shared" si="0"/>
        <v>7693680</v>
      </c>
      <c r="G23" s="301">
        <f>'AT3C_cvrg(Insti)_UPY '!G22</f>
        <v>606</v>
      </c>
      <c r="H23" s="303">
        <v>6247618</v>
      </c>
      <c r="I23" s="19">
        <v>222</v>
      </c>
      <c r="J23" s="304">
        <f t="shared" si="1"/>
        <v>28142</v>
      </c>
    </row>
    <row r="24" spans="1:10" ht="12.75">
      <c r="A24" s="581">
        <v>13</v>
      </c>
      <c r="B24" s="586" t="s">
        <v>742</v>
      </c>
      <c r="C24" s="301">
        <f>'AT3C_cvrg(Insti)_UPY '!G23</f>
        <v>413</v>
      </c>
      <c r="D24" s="499">
        <v>36009</v>
      </c>
      <c r="E24" s="305">
        <v>240</v>
      </c>
      <c r="F24" s="302">
        <f t="shared" si="0"/>
        <v>8642160</v>
      </c>
      <c r="G24" s="301">
        <f>'AT3C_cvrg(Insti)_UPY '!G23</f>
        <v>413</v>
      </c>
      <c r="H24" s="303">
        <v>7345083</v>
      </c>
      <c r="I24" s="19">
        <v>232</v>
      </c>
      <c r="J24" s="304">
        <f t="shared" si="1"/>
        <v>31660</v>
      </c>
    </row>
    <row r="25" spans="1:10" ht="12.75">
      <c r="A25" s="581">
        <v>14</v>
      </c>
      <c r="B25" s="586" t="s">
        <v>740</v>
      </c>
      <c r="C25" s="301">
        <f>'AT3C_cvrg(Insti)_UPY '!G24</f>
        <v>388</v>
      </c>
      <c r="D25" s="499">
        <v>44323</v>
      </c>
      <c r="E25" s="305">
        <v>240</v>
      </c>
      <c r="F25" s="302">
        <f t="shared" si="0"/>
        <v>10637520</v>
      </c>
      <c r="G25" s="301">
        <f>'AT3C_cvrg(Insti)_UPY '!G24</f>
        <v>388</v>
      </c>
      <c r="H25" s="303">
        <v>8417102</v>
      </c>
      <c r="I25" s="19">
        <v>225</v>
      </c>
      <c r="J25" s="304">
        <f t="shared" si="1"/>
        <v>37409</v>
      </c>
    </row>
    <row r="26" spans="1:10" ht="12.75">
      <c r="A26" s="581">
        <v>15</v>
      </c>
      <c r="B26" s="586" t="s">
        <v>734</v>
      </c>
      <c r="C26" s="301">
        <f>'AT3C_cvrg(Insti)_UPY '!G25</f>
        <v>450</v>
      </c>
      <c r="D26" s="499">
        <v>28295</v>
      </c>
      <c r="E26" s="305">
        <v>240</v>
      </c>
      <c r="F26" s="302">
        <f t="shared" si="0"/>
        <v>6790800</v>
      </c>
      <c r="G26" s="301">
        <f>'AT3C_cvrg(Insti)_UPY '!G25</f>
        <v>450</v>
      </c>
      <c r="H26" s="303">
        <v>5696826</v>
      </c>
      <c r="I26" s="19">
        <v>227</v>
      </c>
      <c r="J26" s="304">
        <f t="shared" si="1"/>
        <v>25096</v>
      </c>
    </row>
    <row r="27" spans="1:10" ht="12.75">
      <c r="A27" s="581">
        <v>16</v>
      </c>
      <c r="B27" s="586" t="s">
        <v>741</v>
      </c>
      <c r="C27" s="301">
        <f>'AT3C_cvrg(Insti)_UPY '!G26</f>
        <v>638</v>
      </c>
      <c r="D27" s="499">
        <v>71467</v>
      </c>
      <c r="E27" s="305">
        <v>240</v>
      </c>
      <c r="F27" s="302">
        <f t="shared" si="0"/>
        <v>17152080</v>
      </c>
      <c r="G27" s="301">
        <f>'AT3C_cvrg(Insti)_UPY '!G26</f>
        <v>638</v>
      </c>
      <c r="H27" s="303">
        <v>14088605</v>
      </c>
      <c r="I27" s="19">
        <v>228</v>
      </c>
      <c r="J27" s="304">
        <f t="shared" si="1"/>
        <v>61792</v>
      </c>
    </row>
    <row r="28" spans="1:10" ht="12.75">
      <c r="A28" s="581">
        <v>17</v>
      </c>
      <c r="B28" s="586" t="s">
        <v>733</v>
      </c>
      <c r="C28" s="301">
        <f>'AT3C_cvrg(Insti)_UPY '!G27</f>
        <v>417</v>
      </c>
      <c r="D28" s="499">
        <v>22909</v>
      </c>
      <c r="E28" s="305">
        <v>240</v>
      </c>
      <c r="F28" s="302">
        <f t="shared" si="0"/>
        <v>5498160</v>
      </c>
      <c r="G28" s="301">
        <f>'AT3C_cvrg(Insti)_UPY '!G27</f>
        <v>417</v>
      </c>
      <c r="H28" s="303">
        <v>5042841</v>
      </c>
      <c r="I28" s="19">
        <v>228</v>
      </c>
      <c r="J28" s="304">
        <f t="shared" si="1"/>
        <v>22118</v>
      </c>
    </row>
    <row r="29" spans="1:10" ht="12.75">
      <c r="A29" s="581">
        <v>18</v>
      </c>
      <c r="B29" s="586" t="s">
        <v>735</v>
      </c>
      <c r="C29" s="301">
        <f>'AT3C_cvrg(Insti)_UPY '!G28</f>
        <v>790</v>
      </c>
      <c r="D29" s="499">
        <v>62519</v>
      </c>
      <c r="E29" s="305">
        <v>240</v>
      </c>
      <c r="F29" s="302">
        <f t="shared" si="0"/>
        <v>15004560</v>
      </c>
      <c r="G29" s="301">
        <f>'AT3C_cvrg(Insti)_UPY '!G28</f>
        <v>790</v>
      </c>
      <c r="H29" s="303">
        <v>12634340</v>
      </c>
      <c r="I29" s="19">
        <v>223</v>
      </c>
      <c r="J29" s="304">
        <f t="shared" si="1"/>
        <v>56656</v>
      </c>
    </row>
    <row r="30" spans="1:10" ht="12.75">
      <c r="A30" s="581">
        <v>19</v>
      </c>
      <c r="B30" s="586" t="s">
        <v>732</v>
      </c>
      <c r="C30" s="301">
        <f>'AT3C_cvrg(Insti)_UPY '!G29</f>
        <v>525</v>
      </c>
      <c r="D30" s="499">
        <v>42644</v>
      </c>
      <c r="E30" s="305">
        <v>240</v>
      </c>
      <c r="F30" s="302">
        <f t="shared" si="0"/>
        <v>10234560</v>
      </c>
      <c r="G30" s="301">
        <f>'AT3C_cvrg(Insti)_UPY '!G29</f>
        <v>525</v>
      </c>
      <c r="H30" s="303">
        <v>8650155</v>
      </c>
      <c r="I30" s="19">
        <v>223</v>
      </c>
      <c r="J30" s="304">
        <f t="shared" si="1"/>
        <v>38790</v>
      </c>
    </row>
    <row r="31" spans="1:10" ht="12.75">
      <c r="A31" s="581">
        <v>20</v>
      </c>
      <c r="B31" s="586" t="s">
        <v>836</v>
      </c>
      <c r="C31" s="301">
        <f>'AT3C_cvrg(Insti)_UPY '!G30</f>
        <v>520</v>
      </c>
      <c r="D31" s="499">
        <v>39880</v>
      </c>
      <c r="E31" s="305">
        <v>240</v>
      </c>
      <c r="F31" s="302">
        <f t="shared" si="0"/>
        <v>9571200</v>
      </c>
      <c r="G31" s="301">
        <f>'AT3C_cvrg(Insti)_UPY '!G30</f>
        <v>520</v>
      </c>
      <c r="H31" s="303">
        <v>7570975</v>
      </c>
      <c r="I31" s="19">
        <v>226</v>
      </c>
      <c r="J31" s="304">
        <f t="shared" si="1"/>
        <v>33500</v>
      </c>
    </row>
    <row r="32" spans="1:10" ht="12.75">
      <c r="A32" s="581">
        <v>21</v>
      </c>
      <c r="B32" s="586" t="s">
        <v>729</v>
      </c>
      <c r="C32" s="301">
        <f>'AT3C_cvrg(Insti)_UPY '!G31</f>
        <v>495</v>
      </c>
      <c r="D32" s="499">
        <v>43688</v>
      </c>
      <c r="E32" s="305">
        <v>240</v>
      </c>
      <c r="F32" s="302">
        <f t="shared" si="0"/>
        <v>10485120</v>
      </c>
      <c r="G32" s="301">
        <f>'AT3C_cvrg(Insti)_UPY '!G31</f>
        <v>495</v>
      </c>
      <c r="H32" s="303">
        <v>9021342</v>
      </c>
      <c r="I32" s="19">
        <v>225</v>
      </c>
      <c r="J32" s="304">
        <f t="shared" si="1"/>
        <v>40095</v>
      </c>
    </row>
    <row r="33" spans="1:10" ht="12.75">
      <c r="A33" s="581">
        <v>22</v>
      </c>
      <c r="B33" s="586" t="s">
        <v>746</v>
      </c>
      <c r="C33" s="301">
        <f>'AT3C_cvrg(Insti)_UPY '!G32</f>
        <v>501</v>
      </c>
      <c r="D33" s="499">
        <v>49063</v>
      </c>
      <c r="E33" s="305">
        <v>240</v>
      </c>
      <c r="F33" s="302">
        <f t="shared" si="0"/>
        <v>11775120</v>
      </c>
      <c r="G33" s="301">
        <f>'AT3C_cvrg(Insti)_UPY '!G32</f>
        <v>501</v>
      </c>
      <c r="H33" s="303">
        <v>10320541</v>
      </c>
      <c r="I33" s="19">
        <v>230</v>
      </c>
      <c r="J33" s="304">
        <f t="shared" si="1"/>
        <v>44872</v>
      </c>
    </row>
    <row r="34" spans="1:10" ht="12.75">
      <c r="A34" s="581">
        <v>23</v>
      </c>
      <c r="B34" s="586" t="s">
        <v>738</v>
      </c>
      <c r="C34" s="301">
        <f>'AT3C_cvrg(Insti)_UPY '!G33</f>
        <v>452</v>
      </c>
      <c r="D34" s="499">
        <v>37118</v>
      </c>
      <c r="E34" s="305">
        <v>240</v>
      </c>
      <c r="F34" s="302">
        <f t="shared" si="0"/>
        <v>8908320</v>
      </c>
      <c r="G34" s="301">
        <f>'AT3C_cvrg(Insti)_UPY '!G33</f>
        <v>452</v>
      </c>
      <c r="H34" s="303">
        <v>7169176</v>
      </c>
      <c r="I34" s="19">
        <v>228</v>
      </c>
      <c r="J34" s="304">
        <f t="shared" si="1"/>
        <v>31444</v>
      </c>
    </row>
    <row r="35" spans="1:10" ht="12.75">
      <c r="A35" s="581">
        <v>24</v>
      </c>
      <c r="B35" s="586" t="s">
        <v>730</v>
      </c>
      <c r="C35" s="301">
        <f>'AT3C_cvrg(Insti)_UPY '!G34</f>
        <v>615</v>
      </c>
      <c r="D35" s="499">
        <v>36823</v>
      </c>
      <c r="E35" s="305">
        <v>240</v>
      </c>
      <c r="F35" s="302">
        <f t="shared" si="0"/>
        <v>8837520</v>
      </c>
      <c r="G35" s="301">
        <f>'AT3C_cvrg(Insti)_UPY '!G34</f>
        <v>615</v>
      </c>
      <c r="H35" s="303">
        <v>7683387</v>
      </c>
      <c r="I35" s="19">
        <v>228</v>
      </c>
      <c r="J35" s="304">
        <f t="shared" si="1"/>
        <v>33699</v>
      </c>
    </row>
    <row r="36" spans="1:10" ht="12.75">
      <c r="A36" s="581">
        <v>25</v>
      </c>
      <c r="B36" s="586" t="s">
        <v>736</v>
      </c>
      <c r="C36" s="301">
        <f>'AT3C_cvrg(Insti)_UPY '!G35</f>
        <v>237</v>
      </c>
      <c r="D36" s="499">
        <v>9742</v>
      </c>
      <c r="E36" s="305">
        <v>240</v>
      </c>
      <c r="F36" s="302">
        <f t="shared" si="0"/>
        <v>2338080</v>
      </c>
      <c r="G36" s="301">
        <f>'AT3C_cvrg(Insti)_UPY '!G36</f>
        <v>207</v>
      </c>
      <c r="H36" s="303">
        <v>2370145</v>
      </c>
      <c r="I36" s="19">
        <v>228</v>
      </c>
      <c r="J36" s="304">
        <f t="shared" si="1"/>
        <v>10395</v>
      </c>
    </row>
    <row r="37" spans="1:10" ht="12.75">
      <c r="A37" s="581">
        <v>26</v>
      </c>
      <c r="B37" s="586" t="s">
        <v>744</v>
      </c>
      <c r="C37" s="301">
        <f>'AT3C_cvrg(Insti)_UPY '!G36</f>
        <v>207</v>
      </c>
      <c r="D37" s="499">
        <v>11366</v>
      </c>
      <c r="E37" s="305">
        <v>240</v>
      </c>
      <c r="F37" s="302">
        <f t="shared" si="0"/>
        <v>2727840</v>
      </c>
      <c r="G37" s="301">
        <f>'AT3C_cvrg(Insti)_UPY '!G37</f>
        <v>275</v>
      </c>
      <c r="H37" s="303">
        <v>2190171</v>
      </c>
      <c r="I37" s="19">
        <v>205</v>
      </c>
      <c r="J37" s="304">
        <f t="shared" si="1"/>
        <v>10684</v>
      </c>
    </row>
    <row r="38" spans="1:10" ht="12.75">
      <c r="A38" s="581">
        <v>27</v>
      </c>
      <c r="B38" s="586" t="s">
        <v>745</v>
      </c>
      <c r="C38" s="301">
        <f>'AT3C_cvrg(Insti)_UPY '!G37</f>
        <v>275</v>
      </c>
      <c r="D38" s="499">
        <v>33444</v>
      </c>
      <c r="E38" s="305">
        <v>240</v>
      </c>
      <c r="F38" s="302">
        <f t="shared" si="0"/>
        <v>8026560</v>
      </c>
      <c r="G38" s="301">
        <f>'AT3C_cvrg(Insti)_UPY '!G35</f>
        <v>237</v>
      </c>
      <c r="H38" s="303">
        <v>6947351</v>
      </c>
      <c r="I38" s="19">
        <v>228</v>
      </c>
      <c r="J38" s="304">
        <f t="shared" si="1"/>
        <v>30471</v>
      </c>
    </row>
    <row r="39" spans="1:10" ht="12.75">
      <c r="A39" s="3" t="s">
        <v>19</v>
      </c>
      <c r="B39" s="29"/>
      <c r="C39" s="19">
        <f>SUM(C12:C38)</f>
        <v>13585</v>
      </c>
      <c r="D39" s="19">
        <f>SUM(D12:D38)</f>
        <v>1078444</v>
      </c>
      <c r="E39" s="305">
        <v>240</v>
      </c>
      <c r="F39" s="19">
        <f>SUM(F12:F38)</f>
        <v>258826560</v>
      </c>
      <c r="G39" s="19">
        <f>SUM(G12:G38)</f>
        <v>13585</v>
      </c>
      <c r="H39" s="19">
        <f>SUM(H12:H38)</f>
        <v>216585891</v>
      </c>
      <c r="I39" s="28">
        <v>233</v>
      </c>
      <c r="J39" s="372">
        <f>SUM(J12:J38)</f>
        <v>956913</v>
      </c>
    </row>
    <row r="40" spans="1:10" ht="12.75">
      <c r="A40" s="977" t="s">
        <v>1040</v>
      </c>
      <c r="B40" s="977"/>
      <c r="C40" s="977"/>
      <c r="D40" s="977"/>
      <c r="E40" s="977"/>
      <c r="F40" s="977"/>
      <c r="G40" s="977"/>
      <c r="H40" s="977"/>
      <c r="I40" s="977"/>
      <c r="J40" s="977"/>
    </row>
    <row r="41" spans="1:10" ht="12.75">
      <c r="A41" s="11"/>
      <c r="B41" s="30"/>
      <c r="C41" s="30"/>
      <c r="D41" s="21"/>
      <c r="E41" s="21"/>
      <c r="F41" s="21"/>
      <c r="G41" s="21"/>
      <c r="H41" s="21"/>
      <c r="I41" s="21"/>
      <c r="J41" s="21"/>
    </row>
    <row r="42" spans="1:10" ht="12.75">
      <c r="A42" s="11"/>
      <c r="B42" s="30"/>
      <c r="C42" s="30"/>
      <c r="D42" s="21"/>
      <c r="E42" s="21"/>
      <c r="F42" s="21"/>
      <c r="G42" s="21"/>
      <c r="H42" s="21"/>
      <c r="I42" s="21"/>
      <c r="J42" s="21"/>
    </row>
    <row r="43" spans="1:10" ht="15.75" customHeight="1">
      <c r="A43" s="14" t="s">
        <v>12</v>
      </c>
      <c r="B43" s="14"/>
      <c r="C43" s="14"/>
      <c r="D43" s="14"/>
      <c r="E43" s="14"/>
      <c r="F43" s="14"/>
      <c r="G43" s="881" t="s">
        <v>13</v>
      </c>
      <c r="H43" s="881"/>
      <c r="I43" s="83"/>
      <c r="J43" s="14"/>
    </row>
    <row r="44" spans="1:10" ht="12.75" customHeight="1">
      <c r="A44" s="83"/>
      <c r="B44" s="83"/>
      <c r="C44" s="83"/>
      <c r="D44" s="83"/>
      <c r="E44" s="83"/>
      <c r="F44" s="881" t="s">
        <v>14</v>
      </c>
      <c r="G44" s="881"/>
      <c r="H44" s="881"/>
      <c r="I44" s="881"/>
      <c r="J44" s="83"/>
    </row>
    <row r="45" spans="1:10" ht="12.75" customHeight="1">
      <c r="A45" s="83"/>
      <c r="B45" s="83"/>
      <c r="C45" s="83"/>
      <c r="D45" s="83"/>
      <c r="E45" s="881" t="s">
        <v>637</v>
      </c>
      <c r="F45" s="881"/>
      <c r="G45" s="881"/>
      <c r="H45" s="881"/>
      <c r="I45" s="881"/>
      <c r="J45" s="881"/>
    </row>
    <row r="46" spans="1:10" ht="12.75">
      <c r="A46" s="14"/>
      <c r="B46" s="14"/>
      <c r="C46" s="14"/>
      <c r="E46" s="14"/>
      <c r="F46" s="14"/>
      <c r="G46" s="1" t="s">
        <v>84</v>
      </c>
      <c r="H46" s="1"/>
      <c r="I46" s="1"/>
      <c r="J46" s="1"/>
    </row>
    <row r="50" spans="1:10" ht="12.75">
      <c r="A50" s="978"/>
      <c r="B50" s="978"/>
      <c r="C50" s="978"/>
      <c r="D50" s="978"/>
      <c r="E50" s="978"/>
      <c r="F50" s="978"/>
      <c r="G50" s="978"/>
      <c r="H50" s="978"/>
      <c r="I50" s="978"/>
      <c r="J50" s="978"/>
    </row>
    <row r="52" spans="1:10" ht="12.75">
      <c r="A52" s="978"/>
      <c r="B52" s="978"/>
      <c r="C52" s="978"/>
      <c r="D52" s="978"/>
      <c r="E52" s="978"/>
      <c r="F52" s="978"/>
      <c r="G52" s="978"/>
      <c r="H52" s="978"/>
      <c r="I52" s="978"/>
      <c r="J52" s="978"/>
    </row>
  </sheetData>
  <sheetProtection/>
  <mergeCells count="16">
    <mergeCell ref="E1:I1"/>
    <mergeCell ref="A2:J2"/>
    <mergeCell ref="A3:J3"/>
    <mergeCell ref="A5:J5"/>
    <mergeCell ref="A8:B8"/>
    <mergeCell ref="H8:J8"/>
    <mergeCell ref="A50:J50"/>
    <mergeCell ref="A52:J52"/>
    <mergeCell ref="A9:A10"/>
    <mergeCell ref="B9:B10"/>
    <mergeCell ref="C9:F9"/>
    <mergeCell ref="G9:J9"/>
    <mergeCell ref="G43:H43"/>
    <mergeCell ref="F44:I44"/>
    <mergeCell ref="E45:J45"/>
    <mergeCell ref="A40:J40"/>
  </mergeCells>
  <printOptions horizontalCentered="1"/>
  <pageMargins left="0.7086614173228347" right="0.7086614173228347" top="0.51" bottom="0" header="0.53" footer="0.17"/>
  <pageSetup fitToHeight="1" fitToWidth="1" horizontalDpi="600" verticalDpi="600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P52"/>
  <sheetViews>
    <sheetView view="pageBreakPreview" zoomScale="90" zoomScaleSheetLayoutView="90" zoomScalePageLayoutView="0" workbookViewId="0" topLeftCell="A1">
      <selection activeCell="E28" sqref="E28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11.00390625" style="15" customWidth="1"/>
    <col min="4" max="4" width="10.00390625" style="15" customWidth="1"/>
    <col min="5" max="5" width="13.140625" style="15" customWidth="1"/>
    <col min="6" max="6" width="14.28125" style="15" customWidth="1"/>
    <col min="7" max="7" width="13.28125" style="15" customWidth="1"/>
    <col min="8" max="8" width="14.7109375" style="15" customWidth="1"/>
    <col min="9" max="9" width="16.7109375" style="15" customWidth="1"/>
    <col min="10" max="10" width="19.28125" style="15" customWidth="1"/>
    <col min="11" max="16384" width="9.140625" style="15" customWidth="1"/>
  </cols>
  <sheetData>
    <row r="1" spans="5:10" ht="12.75">
      <c r="E1" s="853"/>
      <c r="F1" s="853"/>
      <c r="G1" s="853"/>
      <c r="H1" s="853"/>
      <c r="I1" s="853"/>
      <c r="J1" s="134" t="s">
        <v>359</v>
      </c>
    </row>
    <row r="2" spans="1:10" ht="15">
      <c r="A2" s="969" t="s">
        <v>0</v>
      </c>
      <c r="B2" s="969"/>
      <c r="C2" s="969"/>
      <c r="D2" s="969"/>
      <c r="E2" s="969"/>
      <c r="F2" s="969"/>
      <c r="G2" s="969"/>
      <c r="H2" s="969"/>
      <c r="I2" s="969"/>
      <c r="J2" s="969"/>
    </row>
    <row r="3" spans="1:10" ht="20.25">
      <c r="A3" s="902" t="s">
        <v>859</v>
      </c>
      <c r="B3" s="902"/>
      <c r="C3" s="902"/>
      <c r="D3" s="902"/>
      <c r="E3" s="902"/>
      <c r="F3" s="902"/>
      <c r="G3" s="902"/>
      <c r="H3" s="902"/>
      <c r="I3" s="902"/>
      <c r="J3" s="902"/>
    </row>
    <row r="4" ht="14.25" customHeight="1"/>
    <row r="5" spans="1:10" ht="19.5" customHeight="1">
      <c r="A5" s="971" t="s">
        <v>934</v>
      </c>
      <c r="B5" s="971"/>
      <c r="C5" s="971"/>
      <c r="D5" s="971"/>
      <c r="E5" s="971"/>
      <c r="F5" s="971"/>
      <c r="G5" s="971"/>
      <c r="H5" s="971"/>
      <c r="I5" s="971"/>
      <c r="J5" s="971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898" t="s">
        <v>634</v>
      </c>
      <c r="B8" s="898"/>
      <c r="C8" s="31"/>
      <c r="H8" s="961" t="s">
        <v>906</v>
      </c>
      <c r="I8" s="961"/>
      <c r="J8" s="961"/>
    </row>
    <row r="9" spans="1:16" ht="12.75">
      <c r="A9" s="871" t="s">
        <v>2</v>
      </c>
      <c r="B9" s="871" t="s">
        <v>3</v>
      </c>
      <c r="C9" s="867" t="s">
        <v>909</v>
      </c>
      <c r="D9" s="868"/>
      <c r="E9" s="868"/>
      <c r="F9" s="869"/>
      <c r="G9" s="867" t="s">
        <v>104</v>
      </c>
      <c r="H9" s="868"/>
      <c r="I9" s="868"/>
      <c r="J9" s="869"/>
      <c r="O9" s="19"/>
      <c r="P9" s="21"/>
    </row>
    <row r="10" spans="1:10" ht="77.25" customHeight="1">
      <c r="A10" s="871"/>
      <c r="B10" s="871"/>
      <c r="C10" s="5" t="s">
        <v>201</v>
      </c>
      <c r="D10" s="5" t="s">
        <v>17</v>
      </c>
      <c r="E10" s="216" t="s">
        <v>476</v>
      </c>
      <c r="F10" s="7" t="s">
        <v>218</v>
      </c>
      <c r="G10" s="5" t="s">
        <v>201</v>
      </c>
      <c r="H10" s="25" t="s">
        <v>18</v>
      </c>
      <c r="I10" s="104" t="s">
        <v>112</v>
      </c>
      <c r="J10" s="5" t="s">
        <v>219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1">
        <v>8</v>
      </c>
      <c r="I11" s="5">
        <v>9</v>
      </c>
      <c r="J11" s="5">
        <v>10</v>
      </c>
    </row>
    <row r="12" spans="1:10" ht="12.75">
      <c r="A12" s="260">
        <v>1</v>
      </c>
      <c r="B12" s="261" t="s">
        <v>580</v>
      </c>
      <c r="C12" s="5"/>
      <c r="D12" s="5"/>
      <c r="E12" s="5"/>
      <c r="F12" s="254"/>
      <c r="G12" s="5"/>
      <c r="H12" s="101"/>
      <c r="I12" s="101"/>
      <c r="J12" s="101"/>
    </row>
    <row r="13" spans="1:10" ht="12.75">
      <c r="A13" s="260">
        <v>2</v>
      </c>
      <c r="B13" s="261" t="s">
        <v>581</v>
      </c>
      <c r="C13" s="5"/>
      <c r="D13" s="5"/>
      <c r="E13" s="5"/>
      <c r="F13" s="254"/>
      <c r="G13" s="5"/>
      <c r="H13" s="101"/>
      <c r="I13" s="101"/>
      <c r="J13" s="101"/>
    </row>
    <row r="14" spans="1:10" ht="12.75">
      <c r="A14" s="260">
        <v>3</v>
      </c>
      <c r="B14" s="261" t="s">
        <v>582</v>
      </c>
      <c r="C14" s="5"/>
      <c r="D14" s="5"/>
      <c r="E14" s="5"/>
      <c r="F14" s="254"/>
      <c r="G14" s="5"/>
      <c r="H14" s="101"/>
      <c r="I14" s="101"/>
      <c r="J14" s="101"/>
    </row>
    <row r="15" spans="1:10" ht="12.75">
      <c r="A15" s="260">
        <v>4</v>
      </c>
      <c r="B15" s="261" t="s">
        <v>583</v>
      </c>
      <c r="C15" s="5"/>
      <c r="D15" s="5"/>
      <c r="E15" s="5"/>
      <c r="F15" s="254"/>
      <c r="G15" s="5"/>
      <c r="H15" s="101"/>
      <c r="I15" s="101"/>
      <c r="J15" s="101"/>
    </row>
    <row r="16" spans="1:10" ht="12.75">
      <c r="A16" s="260">
        <v>5</v>
      </c>
      <c r="B16" s="261" t="s">
        <v>584</v>
      </c>
      <c r="C16" s="5"/>
      <c r="D16" s="5"/>
      <c r="E16" s="5"/>
      <c r="F16" s="254"/>
      <c r="G16" s="5"/>
      <c r="H16" s="101"/>
      <c r="I16" s="101"/>
      <c r="J16" s="101"/>
    </row>
    <row r="17" spans="1:10" ht="12.75">
      <c r="A17" s="260">
        <v>6</v>
      </c>
      <c r="B17" s="261" t="s">
        <v>585</v>
      </c>
      <c r="C17" s="5"/>
      <c r="D17" s="5"/>
      <c r="E17" s="5"/>
      <c r="F17" s="254"/>
      <c r="G17" s="5"/>
      <c r="H17" s="101"/>
      <c r="I17" s="101"/>
      <c r="J17" s="101"/>
    </row>
    <row r="18" spans="1:10" ht="12.75">
      <c r="A18" s="260">
        <v>7</v>
      </c>
      <c r="B18" s="261" t="s">
        <v>586</v>
      </c>
      <c r="C18" s="5"/>
      <c r="D18" s="5"/>
      <c r="E18" s="5"/>
      <c r="F18" s="254"/>
      <c r="G18" s="5"/>
      <c r="H18" s="101"/>
      <c r="I18" s="101"/>
      <c r="J18" s="101"/>
    </row>
    <row r="19" spans="1:10" ht="12.75">
      <c r="A19" s="260">
        <v>8</v>
      </c>
      <c r="B19" s="261" t="s">
        <v>587</v>
      </c>
      <c r="C19" s="5"/>
      <c r="D19" s="5"/>
      <c r="E19" s="5"/>
      <c r="F19" s="254"/>
      <c r="G19" s="5"/>
      <c r="H19" s="101"/>
      <c r="I19" s="101"/>
      <c r="J19" s="101"/>
    </row>
    <row r="20" spans="1:10" ht="12.75">
      <c r="A20" s="260">
        <v>9</v>
      </c>
      <c r="B20" s="261" t="s">
        <v>588</v>
      </c>
      <c r="C20" s="5"/>
      <c r="D20" s="5"/>
      <c r="E20" s="5"/>
      <c r="F20" s="254"/>
      <c r="G20" s="5"/>
      <c r="H20" s="101"/>
      <c r="I20" s="101"/>
      <c r="J20" s="101"/>
    </row>
    <row r="21" spans="1:10" ht="13.5" customHeight="1">
      <c r="A21" s="260">
        <v>10</v>
      </c>
      <c r="B21" s="261" t="s">
        <v>589</v>
      </c>
      <c r="C21" s="5"/>
      <c r="D21" s="5"/>
      <c r="E21" s="307"/>
      <c r="F21" s="306"/>
      <c r="G21" s="5"/>
      <c r="H21" s="101"/>
      <c r="I21" s="101"/>
      <c r="J21" s="101"/>
    </row>
    <row r="22" spans="1:10" ht="12.75">
      <c r="A22" s="260">
        <v>11</v>
      </c>
      <c r="B22" s="261" t="s">
        <v>590</v>
      </c>
      <c r="C22" s="5"/>
      <c r="D22" s="5"/>
      <c r="E22" s="5"/>
      <c r="F22" s="254"/>
      <c r="G22" s="5"/>
      <c r="H22" s="101"/>
      <c r="I22" s="101"/>
      <c r="J22" s="101"/>
    </row>
    <row r="23" spans="1:10" ht="12.75">
      <c r="A23" s="260">
        <v>12</v>
      </c>
      <c r="B23" s="261" t="s">
        <v>591</v>
      </c>
      <c r="C23" s="19"/>
      <c r="D23" s="19"/>
      <c r="E23" s="19"/>
      <c r="F23" s="103"/>
      <c r="G23" s="19"/>
      <c r="H23" s="28"/>
      <c r="I23" s="28"/>
      <c r="J23" s="28"/>
    </row>
    <row r="24" spans="1:10" ht="12.75">
      <c r="A24" s="260">
        <v>13</v>
      </c>
      <c r="B24" s="261" t="s">
        <v>592</v>
      </c>
      <c r="C24" s="19"/>
      <c r="D24" s="19"/>
      <c r="E24" s="19"/>
      <c r="F24" s="27"/>
      <c r="G24" s="19"/>
      <c r="H24" s="28"/>
      <c r="I24" s="28"/>
      <c r="J24" s="28"/>
    </row>
    <row r="25" spans="1:10" ht="12.75">
      <c r="A25" s="260">
        <v>14</v>
      </c>
      <c r="B25" s="261" t="s">
        <v>593</v>
      </c>
      <c r="C25" s="19"/>
      <c r="D25" s="19"/>
      <c r="E25" s="19" t="s">
        <v>11</v>
      </c>
      <c r="F25" s="27"/>
      <c r="G25" s="19"/>
      <c r="H25" s="28"/>
      <c r="I25" s="28"/>
      <c r="J25" s="28"/>
    </row>
    <row r="26" spans="1:10" ht="12.75">
      <c r="A26" s="260">
        <v>15</v>
      </c>
      <c r="B26" s="261" t="s">
        <v>594</v>
      </c>
      <c r="C26" s="19"/>
      <c r="D26" s="19"/>
      <c r="E26" s="19"/>
      <c r="F26" s="27"/>
      <c r="G26" s="19"/>
      <c r="H26" s="28"/>
      <c r="I26" s="28"/>
      <c r="J26" s="28"/>
    </row>
    <row r="27" spans="1:10" ht="12.75">
      <c r="A27" s="260">
        <v>16</v>
      </c>
      <c r="B27" s="261" t="s">
        <v>595</v>
      </c>
      <c r="C27" s="19"/>
      <c r="D27" s="19"/>
      <c r="E27" s="19"/>
      <c r="F27" s="27"/>
      <c r="G27" s="19"/>
      <c r="H27" s="28"/>
      <c r="I27" s="28"/>
      <c r="J27" s="28"/>
    </row>
    <row r="28" spans="1:10" ht="12.75">
      <c r="A28" s="260">
        <v>17</v>
      </c>
      <c r="B28" s="261" t="s">
        <v>596</v>
      </c>
      <c r="C28" s="19"/>
      <c r="D28" s="19"/>
      <c r="E28" s="19"/>
      <c r="F28" s="27"/>
      <c r="G28" s="19"/>
      <c r="H28" s="28"/>
      <c r="I28" s="28"/>
      <c r="J28" s="28"/>
    </row>
    <row r="29" spans="1:10" ht="12.75">
      <c r="A29" s="260">
        <v>18</v>
      </c>
      <c r="B29" s="261" t="s">
        <v>597</v>
      </c>
      <c r="C29" s="19"/>
      <c r="D29" s="19"/>
      <c r="E29" s="19"/>
      <c r="F29" s="27"/>
      <c r="G29" s="19"/>
      <c r="H29" s="28"/>
      <c r="I29" s="28"/>
      <c r="J29" s="28"/>
    </row>
    <row r="30" spans="1:10" ht="12.75">
      <c r="A30" s="260">
        <v>19</v>
      </c>
      <c r="B30" s="261" t="s">
        <v>598</v>
      </c>
      <c r="C30" s="19"/>
      <c r="D30" s="19"/>
      <c r="E30" s="19"/>
      <c r="F30" s="27"/>
      <c r="G30" s="19"/>
      <c r="H30" s="28"/>
      <c r="I30" s="28"/>
      <c r="J30" s="28"/>
    </row>
    <row r="31" spans="1:10" ht="12.75">
      <c r="A31" s="262">
        <v>20</v>
      </c>
      <c r="B31" s="263" t="s">
        <v>599</v>
      </c>
      <c r="C31" s="19"/>
      <c r="D31" s="19"/>
      <c r="E31" s="19"/>
      <c r="F31" s="27"/>
      <c r="G31" s="19"/>
      <c r="H31" s="28"/>
      <c r="I31" s="28"/>
      <c r="J31" s="28"/>
    </row>
    <row r="32" spans="1:10" ht="12.75">
      <c r="A32" s="260">
        <v>21</v>
      </c>
      <c r="B32" s="261" t="s">
        <v>600</v>
      </c>
      <c r="C32" s="19"/>
      <c r="D32" s="19"/>
      <c r="E32" s="19"/>
      <c r="F32" s="27"/>
      <c r="G32" s="19"/>
      <c r="H32" s="28"/>
      <c r="I32" s="28"/>
      <c r="J32" s="28"/>
    </row>
    <row r="33" spans="1:10" ht="12.75">
      <c r="A33" s="260">
        <v>22</v>
      </c>
      <c r="B33" s="261" t="s">
        <v>601</v>
      </c>
      <c r="C33" s="19"/>
      <c r="D33" s="19"/>
      <c r="E33" s="19"/>
      <c r="F33" s="27"/>
      <c r="G33" s="19"/>
      <c r="H33" s="28"/>
      <c r="I33" s="28"/>
      <c r="J33" s="28"/>
    </row>
    <row r="34" spans="1:10" ht="12.75">
      <c r="A34" s="260">
        <v>23</v>
      </c>
      <c r="B34" s="261" t="s">
        <v>602</v>
      </c>
      <c r="C34" s="19">
        <v>12</v>
      </c>
      <c r="D34" s="19">
        <v>14</v>
      </c>
      <c r="E34" s="19"/>
      <c r="F34" s="27"/>
      <c r="G34" s="19"/>
      <c r="H34" s="28"/>
      <c r="I34" s="28"/>
      <c r="J34" s="28"/>
    </row>
    <row r="35" spans="1:10" ht="12.75">
      <c r="A35" s="260">
        <v>24</v>
      </c>
      <c r="B35" s="261" t="s">
        <v>603</v>
      </c>
      <c r="C35" s="19"/>
      <c r="D35" s="19"/>
      <c r="E35" s="19"/>
      <c r="F35" s="27"/>
      <c r="G35" s="19"/>
      <c r="H35" s="28"/>
      <c r="I35" s="28"/>
      <c r="J35" s="28"/>
    </row>
    <row r="36" spans="1:10" ht="12.75">
      <c r="A36" s="260">
        <v>25</v>
      </c>
      <c r="B36" s="261" t="s">
        <v>604</v>
      </c>
      <c r="C36" s="19"/>
      <c r="D36" s="19"/>
      <c r="E36" s="19"/>
      <c r="F36" s="27"/>
      <c r="G36" s="19"/>
      <c r="H36" s="28"/>
      <c r="I36" s="28"/>
      <c r="J36" s="28"/>
    </row>
    <row r="37" spans="1:10" ht="12.75">
      <c r="A37" s="262">
        <v>26</v>
      </c>
      <c r="B37" s="264" t="s">
        <v>605</v>
      </c>
      <c r="C37" s="19"/>
      <c r="D37" s="19"/>
      <c r="E37" s="19"/>
      <c r="F37" s="27"/>
      <c r="G37" s="19"/>
      <c r="H37" s="28"/>
      <c r="I37" s="28"/>
      <c r="J37" s="28"/>
    </row>
    <row r="38" spans="1:10" ht="12.75">
      <c r="A38" s="260">
        <v>27</v>
      </c>
      <c r="B38" s="261" t="s">
        <v>606</v>
      </c>
      <c r="C38" s="19"/>
      <c r="D38" s="19"/>
      <c r="E38" s="19"/>
      <c r="F38" s="27"/>
      <c r="G38" s="19"/>
      <c r="H38" s="28"/>
      <c r="I38" s="28"/>
      <c r="J38" s="28"/>
    </row>
    <row r="39" spans="1:10" ht="12.75">
      <c r="A39" s="3" t="s">
        <v>19</v>
      </c>
      <c r="B39" s="29"/>
      <c r="C39" s="29"/>
      <c r="D39" s="19"/>
      <c r="E39" s="19"/>
      <c r="F39" s="27"/>
      <c r="G39" s="19"/>
      <c r="H39" s="28"/>
      <c r="I39" s="28"/>
      <c r="J39" s="28"/>
    </row>
    <row r="40" spans="1:10" ht="12.75">
      <c r="A40" s="11"/>
      <c r="B40" s="30"/>
      <c r="C40" s="30"/>
      <c r="D40" s="21"/>
      <c r="E40" s="21"/>
      <c r="F40" s="21"/>
      <c r="G40" s="21"/>
      <c r="H40" s="21"/>
      <c r="I40" s="21"/>
      <c r="J40" s="21"/>
    </row>
    <row r="41" spans="1:10" ht="12.75">
      <c r="A41" s="11"/>
      <c r="B41" s="30"/>
      <c r="C41" s="30"/>
      <c r="D41" s="21"/>
      <c r="E41" s="21"/>
      <c r="F41" s="21"/>
      <c r="G41" s="21"/>
      <c r="H41" s="21"/>
      <c r="I41" s="21"/>
      <c r="J41" s="21"/>
    </row>
    <row r="42" spans="1:10" ht="12.75">
      <c r="A42" s="11"/>
      <c r="B42" s="30"/>
      <c r="C42" s="30"/>
      <c r="D42" s="21"/>
      <c r="E42" s="21"/>
      <c r="F42" s="21"/>
      <c r="G42" s="21"/>
      <c r="H42" s="21"/>
      <c r="I42" s="21"/>
      <c r="J42" s="21"/>
    </row>
    <row r="43" spans="1:10" ht="15.75" customHeight="1">
      <c r="A43" s="14" t="s">
        <v>12</v>
      </c>
      <c r="B43" s="14"/>
      <c r="C43" s="14"/>
      <c r="D43" s="14"/>
      <c r="E43" s="14"/>
      <c r="F43" s="14"/>
      <c r="G43" s="881" t="s">
        <v>13</v>
      </c>
      <c r="H43" s="881"/>
      <c r="I43" s="83"/>
      <c r="J43" s="14"/>
    </row>
    <row r="44" spans="1:10" ht="12.75" customHeight="1">
      <c r="A44" s="83"/>
      <c r="B44" s="83"/>
      <c r="C44" s="83"/>
      <c r="D44" s="83"/>
      <c r="E44" s="83"/>
      <c r="F44" s="881" t="s">
        <v>14</v>
      </c>
      <c r="G44" s="881"/>
      <c r="H44" s="881"/>
      <c r="I44" s="881"/>
      <c r="J44" s="83"/>
    </row>
    <row r="45" spans="1:10" ht="12.75" customHeight="1">
      <c r="A45" s="83"/>
      <c r="B45" s="83"/>
      <c r="C45" s="83"/>
      <c r="D45" s="83"/>
      <c r="E45" s="881" t="s">
        <v>637</v>
      </c>
      <c r="F45" s="881"/>
      <c r="G45" s="881"/>
      <c r="H45" s="881"/>
      <c r="I45" s="881"/>
      <c r="J45" s="881"/>
    </row>
    <row r="46" spans="1:10" ht="12.75">
      <c r="A46" s="14"/>
      <c r="B46" s="14"/>
      <c r="C46" s="14"/>
      <c r="E46" s="14"/>
      <c r="F46" s="14"/>
      <c r="G46" s="1" t="s">
        <v>84</v>
      </c>
      <c r="H46" s="1"/>
      <c r="I46" s="1"/>
      <c r="J46" s="1"/>
    </row>
    <row r="50" spans="1:10" ht="12.75">
      <c r="A50" s="978"/>
      <c r="B50" s="978"/>
      <c r="C50" s="978"/>
      <c r="D50" s="978"/>
      <c r="E50" s="978"/>
      <c r="F50" s="978"/>
      <c r="G50" s="978"/>
      <c r="H50" s="978"/>
      <c r="I50" s="978"/>
      <c r="J50" s="978"/>
    </row>
    <row r="52" spans="1:10" ht="12.75">
      <c r="A52" s="978"/>
      <c r="B52" s="978"/>
      <c r="C52" s="978"/>
      <c r="D52" s="978"/>
      <c r="E52" s="978"/>
      <c r="F52" s="978"/>
      <c r="G52" s="978"/>
      <c r="H52" s="978"/>
      <c r="I52" s="978"/>
      <c r="J52" s="978"/>
    </row>
  </sheetData>
  <sheetProtection/>
  <mergeCells count="15">
    <mergeCell ref="A50:J50"/>
    <mergeCell ref="A52:J52"/>
    <mergeCell ref="A9:A10"/>
    <mergeCell ref="B9:B10"/>
    <mergeCell ref="C9:F9"/>
    <mergeCell ref="G9:J9"/>
    <mergeCell ref="G43:H43"/>
    <mergeCell ref="F44:I44"/>
    <mergeCell ref="E45:J45"/>
    <mergeCell ref="E1:I1"/>
    <mergeCell ref="A2:J2"/>
    <mergeCell ref="A3:J3"/>
    <mergeCell ref="A5:J5"/>
    <mergeCell ref="A8:B8"/>
    <mergeCell ref="H8:J8"/>
  </mergeCells>
  <printOptions horizontalCentered="1"/>
  <pageMargins left="0.7086614173228347" right="0.7086614173228347" top="0.54" bottom="0" header="0.55" footer="0.17"/>
  <pageSetup fitToHeight="1" fitToWidth="1" horizontalDpi="600" verticalDpi="600" orientation="landscape" paperSize="9" scale="7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J52"/>
  <sheetViews>
    <sheetView view="pageBreakPreview" zoomScale="90" zoomScaleSheetLayoutView="90" zoomScalePageLayoutView="0" workbookViewId="0" topLeftCell="E23">
      <selection activeCell="L1" sqref="L1:R16384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11.00390625" style="15" customWidth="1"/>
    <col min="4" max="4" width="10.00390625" style="15" customWidth="1"/>
    <col min="5" max="5" width="13.140625" style="15" customWidth="1"/>
    <col min="6" max="6" width="14.28125" style="15" customWidth="1"/>
    <col min="7" max="7" width="13.28125" style="15" customWidth="1"/>
    <col min="8" max="8" width="14.7109375" style="15" customWidth="1"/>
    <col min="9" max="9" width="16.7109375" style="15" customWidth="1"/>
    <col min="10" max="10" width="19.28125" style="15" customWidth="1"/>
    <col min="11" max="16384" width="9.140625" style="15" customWidth="1"/>
  </cols>
  <sheetData>
    <row r="1" spans="5:10" ht="12.75">
      <c r="E1" s="853"/>
      <c r="F1" s="853"/>
      <c r="G1" s="853"/>
      <c r="H1" s="853"/>
      <c r="I1" s="853"/>
      <c r="J1" s="134" t="s">
        <v>358</v>
      </c>
    </row>
    <row r="2" spans="1:10" ht="15">
      <c r="A2" s="969" t="s">
        <v>0</v>
      </c>
      <c r="B2" s="969"/>
      <c r="C2" s="969"/>
      <c r="D2" s="969"/>
      <c r="E2" s="969"/>
      <c r="F2" s="969"/>
      <c r="G2" s="969"/>
      <c r="H2" s="969"/>
      <c r="I2" s="969"/>
      <c r="J2" s="969"/>
    </row>
    <row r="3" spans="1:10" ht="20.25">
      <c r="A3" s="902" t="s">
        <v>859</v>
      </c>
      <c r="B3" s="902"/>
      <c r="C3" s="902"/>
      <c r="D3" s="902"/>
      <c r="E3" s="902"/>
      <c r="F3" s="902"/>
      <c r="G3" s="902"/>
      <c r="H3" s="902"/>
      <c r="I3" s="902"/>
      <c r="J3" s="902"/>
    </row>
    <row r="4" ht="14.25" customHeight="1"/>
    <row r="5" spans="1:10" ht="31.5" customHeight="1">
      <c r="A5" s="971" t="s">
        <v>1042</v>
      </c>
      <c r="B5" s="971"/>
      <c r="C5" s="971"/>
      <c r="D5" s="971"/>
      <c r="E5" s="971"/>
      <c r="F5" s="971"/>
      <c r="G5" s="971"/>
      <c r="H5" s="971"/>
      <c r="I5" s="971"/>
      <c r="J5" s="971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898" t="s">
        <v>634</v>
      </c>
      <c r="B8" s="898"/>
      <c r="C8" s="31"/>
      <c r="H8" s="961" t="s">
        <v>906</v>
      </c>
      <c r="I8" s="961"/>
      <c r="J8" s="961"/>
    </row>
    <row r="9" spans="1:10" ht="12.75">
      <c r="A9" s="871" t="s">
        <v>2</v>
      </c>
      <c r="B9" s="871" t="s">
        <v>3</v>
      </c>
      <c r="C9" s="867" t="s">
        <v>909</v>
      </c>
      <c r="D9" s="868"/>
      <c r="E9" s="868"/>
      <c r="F9" s="869"/>
      <c r="G9" s="867" t="s">
        <v>104</v>
      </c>
      <c r="H9" s="868"/>
      <c r="I9" s="868"/>
      <c r="J9" s="869"/>
    </row>
    <row r="10" spans="1:10" ht="53.25" customHeight="1">
      <c r="A10" s="871"/>
      <c r="B10" s="871"/>
      <c r="C10" s="5" t="s">
        <v>201</v>
      </c>
      <c r="D10" s="5" t="s">
        <v>17</v>
      </c>
      <c r="E10" s="216" t="s">
        <v>360</v>
      </c>
      <c r="F10" s="7" t="s">
        <v>218</v>
      </c>
      <c r="G10" s="5" t="s">
        <v>201</v>
      </c>
      <c r="H10" s="25" t="s">
        <v>18</v>
      </c>
      <c r="I10" s="104" t="s">
        <v>112</v>
      </c>
      <c r="J10" s="5" t="s">
        <v>1041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1">
        <v>8</v>
      </c>
      <c r="I11" s="5">
        <v>9</v>
      </c>
      <c r="J11" s="5">
        <v>10</v>
      </c>
    </row>
    <row r="12" spans="1:10" ht="12.75">
      <c r="A12" s="262">
        <v>1</v>
      </c>
      <c r="B12" s="586" t="s">
        <v>898</v>
      </c>
      <c r="C12" s="37">
        <v>0</v>
      </c>
      <c r="D12" s="433">
        <v>0</v>
      </c>
      <c r="E12" s="288">
        <v>0</v>
      </c>
      <c r="F12" s="302">
        <f>D12*E12</f>
        <v>0</v>
      </c>
      <c r="G12" s="305">
        <v>0</v>
      </c>
      <c r="H12" s="478">
        <v>0</v>
      </c>
      <c r="I12" s="435">
        <v>0</v>
      </c>
      <c r="J12" s="306">
        <v>0</v>
      </c>
    </row>
    <row r="13" spans="1:10" ht="12.75">
      <c r="A13" s="260">
        <v>2</v>
      </c>
      <c r="B13" s="586" t="s">
        <v>899</v>
      </c>
      <c r="C13" s="503">
        <v>0</v>
      </c>
      <c r="D13" s="433">
        <v>0</v>
      </c>
      <c r="E13" s="339">
        <v>0</v>
      </c>
      <c r="F13" s="302">
        <f>D13*E13</f>
        <v>0</v>
      </c>
      <c r="G13" s="643">
        <v>0</v>
      </c>
      <c r="H13" s="299">
        <v>0</v>
      </c>
      <c r="I13" s="299">
        <v>0</v>
      </c>
      <c r="J13" s="306">
        <v>0</v>
      </c>
    </row>
    <row r="14" spans="1:10" ht="12.75">
      <c r="A14" s="260">
        <v>3</v>
      </c>
      <c r="B14" s="586" t="s">
        <v>839</v>
      </c>
      <c r="C14" s="37">
        <v>0</v>
      </c>
      <c r="D14" s="433">
        <v>0</v>
      </c>
      <c r="E14" s="288">
        <v>0</v>
      </c>
      <c r="F14" s="302">
        <f>D14*E14</f>
        <v>0</v>
      </c>
      <c r="G14" s="305">
        <v>0</v>
      </c>
      <c r="H14" s="299">
        <v>0</v>
      </c>
      <c r="I14" s="299">
        <v>0</v>
      </c>
      <c r="J14" s="306">
        <v>0</v>
      </c>
    </row>
    <row r="15" spans="1:10" ht="12.75">
      <c r="A15" s="260">
        <v>4</v>
      </c>
      <c r="B15" s="586" t="s">
        <v>743</v>
      </c>
      <c r="C15" s="37">
        <v>1718</v>
      </c>
      <c r="D15" s="433">
        <v>158059</v>
      </c>
      <c r="E15" s="339">
        <v>46</v>
      </c>
      <c r="F15" s="302">
        <f>D15*E15</f>
        <v>7270714</v>
      </c>
      <c r="G15" s="305">
        <v>1718</v>
      </c>
      <c r="H15" s="299">
        <v>1958321</v>
      </c>
      <c r="I15" s="299">
        <v>45</v>
      </c>
      <c r="J15" s="306">
        <f>ROUND(H15/I15,0)</f>
        <v>43518</v>
      </c>
    </row>
    <row r="16" spans="1:10" ht="12.75">
      <c r="A16" s="260">
        <v>5</v>
      </c>
      <c r="B16" s="586" t="s">
        <v>748</v>
      </c>
      <c r="C16" s="37">
        <v>1985</v>
      </c>
      <c r="D16" s="433">
        <v>66157</v>
      </c>
      <c r="E16" s="339">
        <v>46</v>
      </c>
      <c r="F16" s="302">
        <f aca="true" t="shared" si="0" ref="F16:F38">D16*E16</f>
        <v>3043222</v>
      </c>
      <c r="G16" s="305">
        <v>1985</v>
      </c>
      <c r="H16" s="299">
        <v>625281</v>
      </c>
      <c r="I16" s="299">
        <v>31</v>
      </c>
      <c r="J16" s="306">
        <f aca="true" t="shared" si="1" ref="J16:J39">ROUND(H16/I16,0)</f>
        <v>20170</v>
      </c>
    </row>
    <row r="17" spans="1:10" ht="12.75">
      <c r="A17" s="260">
        <v>6</v>
      </c>
      <c r="B17" s="586" t="s">
        <v>747</v>
      </c>
      <c r="C17" s="37">
        <v>1862</v>
      </c>
      <c r="D17" s="433">
        <v>113169</v>
      </c>
      <c r="E17" s="339">
        <v>46</v>
      </c>
      <c r="F17" s="302">
        <f t="shared" si="0"/>
        <v>5205774</v>
      </c>
      <c r="G17" s="305">
        <v>1862</v>
      </c>
      <c r="H17" s="299">
        <v>2183068</v>
      </c>
      <c r="I17" s="299">
        <v>44</v>
      </c>
      <c r="J17" s="306">
        <f t="shared" si="1"/>
        <v>49615</v>
      </c>
    </row>
    <row r="18" spans="1:10" ht="12.75">
      <c r="A18" s="260">
        <v>7</v>
      </c>
      <c r="B18" s="586" t="s">
        <v>737</v>
      </c>
      <c r="C18" s="37">
        <v>609</v>
      </c>
      <c r="D18" s="433">
        <v>67476</v>
      </c>
      <c r="E18" s="339">
        <v>46</v>
      </c>
      <c r="F18" s="302">
        <f t="shared" si="0"/>
        <v>3103896</v>
      </c>
      <c r="G18" s="305">
        <v>609</v>
      </c>
      <c r="H18" s="299">
        <v>701989</v>
      </c>
      <c r="I18" s="299">
        <v>43</v>
      </c>
      <c r="J18" s="306">
        <f t="shared" si="1"/>
        <v>16325</v>
      </c>
    </row>
    <row r="19" spans="1:10" ht="12.75">
      <c r="A19" s="260">
        <v>8</v>
      </c>
      <c r="B19" s="586" t="s">
        <v>749</v>
      </c>
      <c r="C19" s="37">
        <v>799</v>
      </c>
      <c r="D19" s="433">
        <v>108708</v>
      </c>
      <c r="E19" s="339">
        <v>46</v>
      </c>
      <c r="F19" s="302">
        <f t="shared" si="0"/>
        <v>5000568</v>
      </c>
      <c r="G19" s="305">
        <v>799</v>
      </c>
      <c r="H19" s="299">
        <v>1493455</v>
      </c>
      <c r="I19" s="299">
        <v>45</v>
      </c>
      <c r="J19" s="306">
        <f t="shared" si="1"/>
        <v>33188</v>
      </c>
    </row>
    <row r="20" spans="1:10" ht="12.75">
      <c r="A20" s="260">
        <v>9</v>
      </c>
      <c r="B20" s="586" t="s">
        <v>834</v>
      </c>
      <c r="C20" s="37">
        <v>0</v>
      </c>
      <c r="D20" s="433">
        <v>0</v>
      </c>
      <c r="E20" s="339">
        <v>0</v>
      </c>
      <c r="F20" s="302">
        <f t="shared" si="0"/>
        <v>0</v>
      </c>
      <c r="G20" s="305">
        <v>0</v>
      </c>
      <c r="H20" s="299">
        <v>0</v>
      </c>
      <c r="I20" s="299">
        <v>0</v>
      </c>
      <c r="J20" s="306">
        <v>0</v>
      </c>
    </row>
    <row r="21" spans="1:10" ht="11.25" customHeight="1">
      <c r="A21" s="260">
        <v>10</v>
      </c>
      <c r="B21" s="586" t="s">
        <v>739</v>
      </c>
      <c r="C21" s="37">
        <v>424</v>
      </c>
      <c r="D21" s="433">
        <v>16821</v>
      </c>
      <c r="E21" s="339">
        <v>46</v>
      </c>
      <c r="F21" s="302">
        <f t="shared" si="0"/>
        <v>773766</v>
      </c>
      <c r="G21" s="305">
        <v>424</v>
      </c>
      <c r="H21" s="299">
        <v>347319</v>
      </c>
      <c r="I21" s="299">
        <v>39</v>
      </c>
      <c r="J21" s="306">
        <f t="shared" si="1"/>
        <v>8906</v>
      </c>
    </row>
    <row r="22" spans="1:10" ht="12.75">
      <c r="A22" s="260">
        <v>11</v>
      </c>
      <c r="B22" s="586" t="s">
        <v>900</v>
      </c>
      <c r="C22" s="37">
        <v>0</v>
      </c>
      <c r="D22" s="433">
        <v>0</v>
      </c>
      <c r="E22" s="288">
        <v>0</v>
      </c>
      <c r="F22" s="302">
        <f t="shared" si="0"/>
        <v>0</v>
      </c>
      <c r="G22" s="305">
        <v>0</v>
      </c>
      <c r="H22" s="299">
        <v>0</v>
      </c>
      <c r="I22" s="299">
        <v>0</v>
      </c>
      <c r="J22" s="306">
        <v>0</v>
      </c>
    </row>
    <row r="23" spans="1:10" ht="12.75">
      <c r="A23" s="260">
        <v>12</v>
      </c>
      <c r="B23" s="586" t="s">
        <v>731</v>
      </c>
      <c r="C23" s="37">
        <v>1229</v>
      </c>
      <c r="D23" s="433">
        <v>46678</v>
      </c>
      <c r="E23" s="339">
        <v>46</v>
      </c>
      <c r="F23" s="302">
        <f t="shared" si="0"/>
        <v>2147188</v>
      </c>
      <c r="G23" s="305">
        <v>1229</v>
      </c>
      <c r="H23" s="299">
        <v>653251</v>
      </c>
      <c r="I23" s="299">
        <v>25</v>
      </c>
      <c r="J23" s="306">
        <f t="shared" si="1"/>
        <v>26130</v>
      </c>
    </row>
    <row r="24" spans="1:10" ht="12.75">
      <c r="A24" s="260">
        <v>13</v>
      </c>
      <c r="B24" s="586" t="s">
        <v>742</v>
      </c>
      <c r="C24" s="300">
        <v>826</v>
      </c>
      <c r="D24" s="433">
        <v>43158</v>
      </c>
      <c r="E24" s="339">
        <v>46</v>
      </c>
      <c r="F24" s="302">
        <f t="shared" si="0"/>
        <v>1985268</v>
      </c>
      <c r="G24" s="274">
        <v>826</v>
      </c>
      <c r="H24" s="299">
        <v>903775</v>
      </c>
      <c r="I24" s="299">
        <v>39</v>
      </c>
      <c r="J24" s="306">
        <f t="shared" si="1"/>
        <v>23174</v>
      </c>
    </row>
    <row r="25" spans="1:10" ht="12.75">
      <c r="A25" s="260">
        <v>14</v>
      </c>
      <c r="B25" s="586" t="s">
        <v>740</v>
      </c>
      <c r="C25" s="300">
        <v>0</v>
      </c>
      <c r="D25" s="433">
        <v>4</v>
      </c>
      <c r="E25" s="339">
        <v>46</v>
      </c>
      <c r="F25" s="302">
        <f t="shared" si="0"/>
        <v>184</v>
      </c>
      <c r="G25" s="274">
        <v>745</v>
      </c>
      <c r="H25" s="299">
        <v>878512</v>
      </c>
      <c r="I25" s="299">
        <v>45</v>
      </c>
      <c r="J25" s="306">
        <f t="shared" si="1"/>
        <v>19522</v>
      </c>
    </row>
    <row r="26" spans="1:10" ht="12.75">
      <c r="A26" s="260">
        <v>15</v>
      </c>
      <c r="B26" s="586" t="s">
        <v>734</v>
      </c>
      <c r="C26" s="300">
        <v>982</v>
      </c>
      <c r="D26" s="433">
        <v>30574</v>
      </c>
      <c r="E26" s="339">
        <v>46</v>
      </c>
      <c r="F26" s="302">
        <f t="shared" si="0"/>
        <v>1406404</v>
      </c>
      <c r="G26" s="274">
        <v>982</v>
      </c>
      <c r="H26" s="299">
        <v>631840</v>
      </c>
      <c r="I26" s="299">
        <v>31</v>
      </c>
      <c r="J26" s="306">
        <f t="shared" si="1"/>
        <v>20382</v>
      </c>
    </row>
    <row r="27" spans="1:10" ht="12.75">
      <c r="A27" s="260">
        <v>16</v>
      </c>
      <c r="B27" s="586" t="s">
        <v>741</v>
      </c>
      <c r="C27" s="300">
        <v>2</v>
      </c>
      <c r="D27" s="433">
        <v>4</v>
      </c>
      <c r="E27" s="339">
        <v>46</v>
      </c>
      <c r="F27" s="302">
        <f t="shared" si="0"/>
        <v>184</v>
      </c>
      <c r="G27" s="274">
        <v>1192</v>
      </c>
      <c r="H27" s="299">
        <v>1866425</v>
      </c>
      <c r="I27" s="299">
        <v>45</v>
      </c>
      <c r="J27" s="306">
        <f t="shared" si="1"/>
        <v>41476</v>
      </c>
    </row>
    <row r="28" spans="1:10" ht="12.75">
      <c r="A28" s="260">
        <v>17</v>
      </c>
      <c r="B28" s="586" t="s">
        <v>733</v>
      </c>
      <c r="C28" s="300">
        <v>966</v>
      </c>
      <c r="D28" s="433">
        <v>44040</v>
      </c>
      <c r="E28" s="339">
        <v>46</v>
      </c>
      <c r="F28" s="302">
        <f t="shared" si="0"/>
        <v>2025840</v>
      </c>
      <c r="G28" s="274">
        <v>966</v>
      </c>
      <c r="H28" s="299">
        <v>756185</v>
      </c>
      <c r="I28" s="299">
        <v>44</v>
      </c>
      <c r="J28" s="306">
        <f t="shared" si="1"/>
        <v>17186</v>
      </c>
    </row>
    <row r="29" spans="1:10" ht="12.75">
      <c r="A29" s="260">
        <v>18</v>
      </c>
      <c r="B29" s="586" t="s">
        <v>735</v>
      </c>
      <c r="C29" s="300">
        <v>1</v>
      </c>
      <c r="D29" s="433">
        <v>3</v>
      </c>
      <c r="E29" s="339">
        <v>46</v>
      </c>
      <c r="F29" s="302">
        <f t="shared" si="0"/>
        <v>138</v>
      </c>
      <c r="G29" s="274">
        <v>1552</v>
      </c>
      <c r="H29" s="299">
        <v>706375</v>
      </c>
      <c r="I29" s="299">
        <v>17</v>
      </c>
      <c r="J29" s="306">
        <f t="shared" si="1"/>
        <v>41551</v>
      </c>
    </row>
    <row r="30" spans="1:10" ht="12.75">
      <c r="A30" s="260">
        <v>19</v>
      </c>
      <c r="B30" s="586" t="s">
        <v>732</v>
      </c>
      <c r="C30" s="300">
        <v>1495</v>
      </c>
      <c r="D30" s="433">
        <v>17535</v>
      </c>
      <c r="E30" s="339">
        <v>46</v>
      </c>
      <c r="F30" s="302">
        <f t="shared" si="0"/>
        <v>806610</v>
      </c>
      <c r="G30" s="274">
        <v>1495</v>
      </c>
      <c r="H30" s="299">
        <v>385156</v>
      </c>
      <c r="I30" s="299">
        <v>34</v>
      </c>
      <c r="J30" s="306">
        <f t="shared" si="1"/>
        <v>11328</v>
      </c>
    </row>
    <row r="31" spans="1:10" ht="12.75">
      <c r="A31" s="260">
        <v>20</v>
      </c>
      <c r="B31" s="586" t="s">
        <v>836</v>
      </c>
      <c r="C31" s="300">
        <v>0</v>
      </c>
      <c r="D31" s="433">
        <v>0</v>
      </c>
      <c r="E31" s="339">
        <v>0</v>
      </c>
      <c r="F31" s="302">
        <f t="shared" si="0"/>
        <v>0</v>
      </c>
      <c r="G31" s="274">
        <v>0</v>
      </c>
      <c r="H31" s="299">
        <v>0</v>
      </c>
      <c r="I31" s="299">
        <v>0</v>
      </c>
      <c r="J31" s="306">
        <v>0</v>
      </c>
    </row>
    <row r="32" spans="1:10" ht="12.75">
      <c r="A32" s="260">
        <v>21</v>
      </c>
      <c r="B32" s="586" t="s">
        <v>729</v>
      </c>
      <c r="C32" s="300">
        <v>985</v>
      </c>
      <c r="D32" s="433">
        <v>81511</v>
      </c>
      <c r="E32" s="339">
        <v>46</v>
      </c>
      <c r="F32" s="302">
        <f t="shared" si="0"/>
        <v>3749506</v>
      </c>
      <c r="G32" s="274">
        <v>985</v>
      </c>
      <c r="H32" s="299">
        <v>1292813</v>
      </c>
      <c r="I32" s="299">
        <v>44</v>
      </c>
      <c r="J32" s="306">
        <f t="shared" si="1"/>
        <v>29382</v>
      </c>
    </row>
    <row r="33" spans="1:10" ht="12.75">
      <c r="A33" s="260">
        <v>22</v>
      </c>
      <c r="B33" s="586" t="s">
        <v>746</v>
      </c>
      <c r="C33" s="300">
        <v>1307</v>
      </c>
      <c r="D33" s="433">
        <v>80141</v>
      </c>
      <c r="E33" s="339">
        <v>46</v>
      </c>
      <c r="F33" s="302">
        <f t="shared" si="0"/>
        <v>3686486</v>
      </c>
      <c r="G33" s="274">
        <v>1307</v>
      </c>
      <c r="H33" s="299">
        <v>1550783</v>
      </c>
      <c r="I33" s="299">
        <v>45</v>
      </c>
      <c r="J33" s="306">
        <f t="shared" si="1"/>
        <v>34462</v>
      </c>
    </row>
    <row r="34" spans="1:10" ht="12.75">
      <c r="A34" s="260">
        <v>23</v>
      </c>
      <c r="B34" s="586" t="s">
        <v>738</v>
      </c>
      <c r="C34" s="300">
        <v>12</v>
      </c>
      <c r="D34" s="433">
        <v>14</v>
      </c>
      <c r="E34" s="339">
        <v>46</v>
      </c>
      <c r="F34" s="302">
        <f t="shared" si="0"/>
        <v>644</v>
      </c>
      <c r="G34" s="274">
        <v>884</v>
      </c>
      <c r="H34" s="299">
        <v>962489</v>
      </c>
      <c r="I34" s="299">
        <v>45</v>
      </c>
      <c r="J34" s="306">
        <f t="shared" si="1"/>
        <v>21389</v>
      </c>
    </row>
    <row r="35" spans="1:10" ht="12.75">
      <c r="A35" s="260">
        <v>24</v>
      </c>
      <c r="B35" s="586" t="s">
        <v>730</v>
      </c>
      <c r="C35" s="300">
        <v>1592</v>
      </c>
      <c r="D35" s="433">
        <v>54832</v>
      </c>
      <c r="E35" s="339">
        <v>46</v>
      </c>
      <c r="F35" s="302">
        <f t="shared" si="0"/>
        <v>2522272</v>
      </c>
      <c r="G35" s="274">
        <v>1592</v>
      </c>
      <c r="H35" s="299">
        <v>1272199</v>
      </c>
      <c r="I35" s="299">
        <v>42</v>
      </c>
      <c r="J35" s="306">
        <f t="shared" si="1"/>
        <v>30290</v>
      </c>
    </row>
    <row r="36" spans="1:10" ht="12.75">
      <c r="A36" s="260">
        <v>25</v>
      </c>
      <c r="B36" s="586" t="s">
        <v>736</v>
      </c>
      <c r="C36" s="501">
        <v>647</v>
      </c>
      <c r="D36" s="433">
        <v>26786</v>
      </c>
      <c r="E36" s="339">
        <v>46</v>
      </c>
      <c r="F36" s="302">
        <f t="shared" si="0"/>
        <v>1232156</v>
      </c>
      <c r="G36" s="644">
        <v>647</v>
      </c>
      <c r="H36" s="299">
        <v>629322</v>
      </c>
      <c r="I36" s="299">
        <v>37</v>
      </c>
      <c r="J36" s="306">
        <f t="shared" si="1"/>
        <v>17009</v>
      </c>
    </row>
    <row r="37" spans="1:10" ht="12.75">
      <c r="A37" s="260">
        <v>26</v>
      </c>
      <c r="B37" s="586" t="s">
        <v>744</v>
      </c>
      <c r="C37" s="300">
        <v>680</v>
      </c>
      <c r="D37" s="433">
        <v>30195</v>
      </c>
      <c r="E37" s="339">
        <v>46</v>
      </c>
      <c r="F37" s="302">
        <f t="shared" si="0"/>
        <v>1388970</v>
      </c>
      <c r="G37" s="274">
        <v>680</v>
      </c>
      <c r="H37" s="299">
        <v>702324</v>
      </c>
      <c r="I37" s="299">
        <v>33</v>
      </c>
      <c r="J37" s="306">
        <f t="shared" si="1"/>
        <v>21283</v>
      </c>
    </row>
    <row r="38" spans="1:10" ht="12.75">
      <c r="A38" s="262">
        <v>27</v>
      </c>
      <c r="B38" s="586" t="s">
        <v>745</v>
      </c>
      <c r="C38" s="500">
        <v>666</v>
      </c>
      <c r="D38" s="433">
        <v>68935</v>
      </c>
      <c r="E38" s="339">
        <v>46</v>
      </c>
      <c r="F38" s="302">
        <f t="shared" si="0"/>
        <v>3171010</v>
      </c>
      <c r="G38" s="645">
        <v>666</v>
      </c>
      <c r="H38" s="299">
        <v>1046378</v>
      </c>
      <c r="I38" s="299">
        <v>45</v>
      </c>
      <c r="J38" s="306">
        <f t="shared" si="1"/>
        <v>23253</v>
      </c>
    </row>
    <row r="39" spans="1:10" ht="12.75">
      <c r="A39" s="867" t="s">
        <v>19</v>
      </c>
      <c r="B39" s="869"/>
      <c r="C39" s="280">
        <f>SUM(C12:C38)</f>
        <v>18787</v>
      </c>
      <c r="D39" s="436">
        <v>1354738</v>
      </c>
      <c r="E39" s="646">
        <v>46</v>
      </c>
      <c r="F39" s="302">
        <f>SUM(F12:F38)</f>
        <v>48520800</v>
      </c>
      <c r="G39" s="302">
        <f>SUM(G12:G38)</f>
        <v>23145</v>
      </c>
      <c r="H39" s="434">
        <f>SUM(H12:H38)</f>
        <v>21547260</v>
      </c>
      <c r="I39" s="434">
        <v>39</v>
      </c>
      <c r="J39" s="306">
        <f t="shared" si="1"/>
        <v>552494</v>
      </c>
    </row>
    <row r="40" spans="1:10" ht="12.75">
      <c r="A40" s="977" t="s">
        <v>1040</v>
      </c>
      <c r="B40" s="977"/>
      <c r="C40" s="977"/>
      <c r="D40" s="977"/>
      <c r="E40" s="977"/>
      <c r="F40" s="977"/>
      <c r="G40" s="977"/>
      <c r="H40" s="977"/>
      <c r="I40" s="977"/>
      <c r="J40" s="977"/>
    </row>
    <row r="41" spans="1:10" ht="12.75">
      <c r="A41" s="11"/>
      <c r="B41" s="30"/>
      <c r="C41" s="30"/>
      <c r="D41" s="21"/>
      <c r="E41" s="21"/>
      <c r="F41" s="21"/>
      <c r="G41" s="21"/>
      <c r="H41" s="21"/>
      <c r="I41" s="21"/>
      <c r="J41" s="21"/>
    </row>
    <row r="42" spans="1:10" ht="12.75">
      <c r="A42" s="11"/>
      <c r="B42" s="30"/>
      <c r="C42" s="30"/>
      <c r="D42" s="21"/>
      <c r="E42" s="21"/>
      <c r="F42" s="21"/>
      <c r="G42" s="21"/>
      <c r="H42" s="21"/>
      <c r="I42" s="21"/>
      <c r="J42" s="21"/>
    </row>
    <row r="43" spans="1:10" ht="15.75" customHeight="1">
      <c r="A43" s="14" t="s">
        <v>12</v>
      </c>
      <c r="B43" s="14"/>
      <c r="C43" s="14"/>
      <c r="D43" s="14"/>
      <c r="E43" s="14"/>
      <c r="F43" s="14"/>
      <c r="G43" s="881" t="s">
        <v>13</v>
      </c>
      <c r="H43" s="881"/>
      <c r="I43" s="83"/>
      <c r="J43" s="14"/>
    </row>
    <row r="44" spans="1:10" ht="12.75" customHeight="1">
      <c r="A44" s="83"/>
      <c r="B44" s="83"/>
      <c r="C44" s="83"/>
      <c r="D44" s="83"/>
      <c r="E44" s="83"/>
      <c r="F44" s="881" t="s">
        <v>14</v>
      </c>
      <c r="G44" s="881"/>
      <c r="H44" s="881"/>
      <c r="I44" s="881"/>
      <c r="J44" s="83"/>
    </row>
    <row r="45" spans="1:10" ht="12.75" customHeight="1">
      <c r="A45" s="83"/>
      <c r="B45" s="83"/>
      <c r="C45" s="83"/>
      <c r="D45" s="83"/>
      <c r="E45" s="881" t="s">
        <v>637</v>
      </c>
      <c r="F45" s="881"/>
      <c r="G45" s="881"/>
      <c r="H45" s="881"/>
      <c r="I45" s="881"/>
      <c r="J45" s="881"/>
    </row>
    <row r="46" spans="1:10" ht="12.75">
      <c r="A46" s="14"/>
      <c r="B46" s="14"/>
      <c r="C46" s="14"/>
      <c r="E46" s="14"/>
      <c r="F46" s="14"/>
      <c r="G46" s="1" t="s">
        <v>84</v>
      </c>
      <c r="H46" s="1"/>
      <c r="I46" s="1"/>
      <c r="J46" s="1"/>
    </row>
    <row r="50" spans="1:10" ht="12.75">
      <c r="A50" s="978"/>
      <c r="B50" s="978"/>
      <c r="C50" s="978"/>
      <c r="D50" s="978"/>
      <c r="E50" s="978"/>
      <c r="F50" s="978"/>
      <c r="G50" s="978"/>
      <c r="H50" s="978"/>
      <c r="I50" s="978"/>
      <c r="J50" s="978"/>
    </row>
    <row r="52" spans="1:10" ht="12.75">
      <c r="A52" s="978"/>
      <c r="B52" s="978"/>
      <c r="C52" s="978"/>
      <c r="D52" s="978"/>
      <c r="E52" s="978"/>
      <c r="F52" s="978"/>
      <c r="G52" s="978"/>
      <c r="H52" s="978"/>
      <c r="I52" s="978"/>
      <c r="J52" s="978"/>
    </row>
  </sheetData>
  <sheetProtection/>
  <mergeCells count="17">
    <mergeCell ref="A40:J40"/>
    <mergeCell ref="E1:I1"/>
    <mergeCell ref="A2:J2"/>
    <mergeCell ref="A3:J3"/>
    <mergeCell ref="A5:J5"/>
    <mergeCell ref="A8:B8"/>
    <mergeCell ref="H8:J8"/>
    <mergeCell ref="A50:J50"/>
    <mergeCell ref="A52:J52"/>
    <mergeCell ref="A9:A10"/>
    <mergeCell ref="B9:B10"/>
    <mergeCell ref="C9:F9"/>
    <mergeCell ref="G9:J9"/>
    <mergeCell ref="G43:H43"/>
    <mergeCell ref="F44:I44"/>
    <mergeCell ref="E45:J45"/>
    <mergeCell ref="A39:B39"/>
  </mergeCells>
  <printOptions horizontalCentered="1"/>
  <pageMargins left="0.7086614173228347" right="0.7086614173228347" top="0.63" bottom="0" header="0.64" footer="0.2"/>
  <pageSetup fitToHeight="1" fitToWidth="1" horizontalDpi="600" verticalDpi="600" orientation="landscape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J52"/>
  <sheetViews>
    <sheetView view="pageBreakPreview" zoomScaleSheetLayoutView="100" zoomScalePageLayoutView="0" workbookViewId="0" topLeftCell="A12">
      <selection activeCell="N22" sqref="N22"/>
    </sheetView>
  </sheetViews>
  <sheetFormatPr defaultColWidth="9.140625" defaultRowHeight="12.75"/>
  <cols>
    <col min="1" max="1" width="7.421875" style="15" customWidth="1"/>
    <col min="2" max="2" width="19.140625" style="15" customWidth="1"/>
    <col min="3" max="3" width="11.00390625" style="15" customWidth="1"/>
    <col min="4" max="4" width="10.00390625" style="15" customWidth="1"/>
    <col min="5" max="5" width="13.140625" style="15" customWidth="1"/>
    <col min="6" max="6" width="14.28125" style="15" customWidth="1"/>
    <col min="7" max="7" width="13.28125" style="15" customWidth="1"/>
    <col min="8" max="8" width="14.7109375" style="15" customWidth="1"/>
    <col min="9" max="9" width="16.7109375" style="15" customWidth="1"/>
    <col min="10" max="10" width="19.28125" style="15" customWidth="1"/>
    <col min="11" max="16384" width="9.140625" style="15" customWidth="1"/>
  </cols>
  <sheetData>
    <row r="1" spans="5:10" ht="12.75">
      <c r="E1" s="853"/>
      <c r="F1" s="853"/>
      <c r="G1" s="853"/>
      <c r="H1" s="853"/>
      <c r="I1" s="853"/>
      <c r="J1" s="134" t="s">
        <v>434</v>
      </c>
    </row>
    <row r="2" spans="1:10" ht="15">
      <c r="A2" s="969" t="s">
        <v>0</v>
      </c>
      <c r="B2" s="969"/>
      <c r="C2" s="969"/>
      <c r="D2" s="969"/>
      <c r="E2" s="969"/>
      <c r="F2" s="969"/>
      <c r="G2" s="969"/>
      <c r="H2" s="969"/>
      <c r="I2" s="969"/>
      <c r="J2" s="969"/>
    </row>
    <row r="3" spans="1:10" ht="20.25">
      <c r="A3" s="902" t="s">
        <v>859</v>
      </c>
      <c r="B3" s="902"/>
      <c r="C3" s="902"/>
      <c r="D3" s="902"/>
      <c r="E3" s="902"/>
      <c r="F3" s="902"/>
      <c r="G3" s="902"/>
      <c r="H3" s="902"/>
      <c r="I3" s="902"/>
      <c r="J3" s="902"/>
    </row>
    <row r="4" ht="14.25" customHeight="1"/>
    <row r="5" spans="1:10" ht="31.5" customHeight="1">
      <c r="A5" s="971" t="s">
        <v>935</v>
      </c>
      <c r="B5" s="971"/>
      <c r="C5" s="971"/>
      <c r="D5" s="971"/>
      <c r="E5" s="971"/>
      <c r="F5" s="971"/>
      <c r="G5" s="971"/>
      <c r="H5" s="971"/>
      <c r="I5" s="971"/>
      <c r="J5" s="971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898" t="s">
        <v>634</v>
      </c>
      <c r="B8" s="898"/>
      <c r="C8" s="31"/>
      <c r="H8" s="961" t="s">
        <v>906</v>
      </c>
      <c r="I8" s="961"/>
      <c r="J8" s="961"/>
    </row>
    <row r="9" spans="1:10" ht="12.75">
      <c r="A9" s="871" t="s">
        <v>2</v>
      </c>
      <c r="B9" s="871" t="s">
        <v>3</v>
      </c>
      <c r="C9" s="867" t="s">
        <v>909</v>
      </c>
      <c r="D9" s="868"/>
      <c r="E9" s="868"/>
      <c r="F9" s="869"/>
      <c r="G9" s="867" t="s">
        <v>104</v>
      </c>
      <c r="H9" s="868"/>
      <c r="I9" s="868"/>
      <c r="J9" s="869"/>
    </row>
    <row r="10" spans="1:10" ht="53.25" customHeight="1">
      <c r="A10" s="871"/>
      <c r="B10" s="871"/>
      <c r="C10" s="5" t="s">
        <v>201</v>
      </c>
      <c r="D10" s="5" t="s">
        <v>17</v>
      </c>
      <c r="E10" s="216" t="s">
        <v>360</v>
      </c>
      <c r="F10" s="7" t="s">
        <v>218</v>
      </c>
      <c r="G10" s="5" t="s">
        <v>201</v>
      </c>
      <c r="H10" s="25" t="s">
        <v>18</v>
      </c>
      <c r="I10" s="104" t="s">
        <v>112</v>
      </c>
      <c r="J10" s="5" t="s">
        <v>219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1">
        <v>8</v>
      </c>
      <c r="I11" s="5">
        <v>9</v>
      </c>
      <c r="J11" s="5">
        <v>10</v>
      </c>
    </row>
    <row r="12" spans="1:10" ht="15.75" customHeight="1">
      <c r="A12" s="262">
        <v>1</v>
      </c>
      <c r="B12" s="647" t="s">
        <v>898</v>
      </c>
      <c r="C12" s="271">
        <v>0</v>
      </c>
      <c r="D12" s="288">
        <v>0</v>
      </c>
      <c r="E12" s="271">
        <v>0</v>
      </c>
      <c r="F12" s="271">
        <f>D12*E12</f>
        <v>0</v>
      </c>
      <c r="G12" s="271"/>
      <c r="H12" s="648">
        <v>0</v>
      </c>
      <c r="I12" s="435">
        <v>0</v>
      </c>
      <c r="J12" s="271">
        <v>0</v>
      </c>
    </row>
    <row r="13" spans="1:10" ht="15.75" customHeight="1">
      <c r="A13" s="260">
        <v>2</v>
      </c>
      <c r="B13" s="647" t="s">
        <v>899</v>
      </c>
      <c r="C13" s="271">
        <v>0</v>
      </c>
      <c r="D13" s="531">
        <v>0</v>
      </c>
      <c r="E13" s="271">
        <v>0</v>
      </c>
      <c r="F13" s="271">
        <f>D13*E13</f>
        <v>0</v>
      </c>
      <c r="G13" s="271"/>
      <c r="H13" s="649">
        <v>0</v>
      </c>
      <c r="I13" s="299">
        <v>0</v>
      </c>
      <c r="J13" s="271">
        <v>0</v>
      </c>
    </row>
    <row r="14" spans="1:10" ht="15.75" customHeight="1">
      <c r="A14" s="260">
        <v>3</v>
      </c>
      <c r="B14" s="647" t="s">
        <v>839</v>
      </c>
      <c r="C14" s="271">
        <v>0</v>
      </c>
      <c r="D14" s="288">
        <v>0</v>
      </c>
      <c r="E14" s="271">
        <v>0</v>
      </c>
      <c r="F14" s="271">
        <f>D14*E14</f>
        <v>0</v>
      </c>
      <c r="G14" s="271"/>
      <c r="H14" s="649">
        <v>0</v>
      </c>
      <c r="I14" s="299">
        <v>0</v>
      </c>
      <c r="J14" s="271">
        <v>0</v>
      </c>
    </row>
    <row r="15" spans="1:10" ht="15.75" customHeight="1">
      <c r="A15" s="260">
        <v>4</v>
      </c>
      <c r="B15" s="647" t="s">
        <v>743</v>
      </c>
      <c r="C15" s="271">
        <f>'AT3C_cvrg(Insti)_UPY '!G14</f>
        <v>785</v>
      </c>
      <c r="D15" s="530">
        <v>104548</v>
      </c>
      <c r="E15" s="271">
        <v>46</v>
      </c>
      <c r="F15" s="271">
        <f>D15*E15</f>
        <v>4809208</v>
      </c>
      <c r="G15" s="271">
        <v>785</v>
      </c>
      <c r="H15" s="649">
        <v>919609</v>
      </c>
      <c r="I15" s="299">
        <v>45</v>
      </c>
      <c r="J15" s="271">
        <f>ROUND(H15/I15,0)</f>
        <v>20436</v>
      </c>
    </row>
    <row r="16" spans="1:10" ht="15.75" customHeight="1">
      <c r="A16" s="260">
        <v>5</v>
      </c>
      <c r="B16" s="647" t="s">
        <v>748</v>
      </c>
      <c r="C16" s="271">
        <f>'AT3C_cvrg(Insti)_UPY '!G15</f>
        <v>919</v>
      </c>
      <c r="D16" s="530">
        <v>46686</v>
      </c>
      <c r="E16" s="271">
        <v>46</v>
      </c>
      <c r="F16" s="271">
        <f aca="true" t="shared" si="0" ref="F16:F38">D16*E16</f>
        <v>2147556</v>
      </c>
      <c r="G16" s="271">
        <v>919</v>
      </c>
      <c r="H16" s="649">
        <v>363222</v>
      </c>
      <c r="I16" s="299">
        <v>31</v>
      </c>
      <c r="J16" s="271">
        <f aca="true" t="shared" si="1" ref="J16:J38">ROUND(H16/I16,0)</f>
        <v>11717</v>
      </c>
    </row>
    <row r="17" spans="1:10" ht="15.75" customHeight="1">
      <c r="A17" s="260">
        <v>6</v>
      </c>
      <c r="B17" s="647" t="s">
        <v>747</v>
      </c>
      <c r="C17" s="271">
        <f>'AT3C_cvrg(Insti)_UPY '!G16</f>
        <v>795</v>
      </c>
      <c r="D17" s="530">
        <v>78194</v>
      </c>
      <c r="E17" s="271">
        <v>46</v>
      </c>
      <c r="F17" s="271">
        <f t="shared" si="0"/>
        <v>3596924</v>
      </c>
      <c r="G17" s="271">
        <v>795</v>
      </c>
      <c r="H17" s="649">
        <v>900135</v>
      </c>
      <c r="I17" s="299">
        <v>44</v>
      </c>
      <c r="J17" s="271">
        <f t="shared" si="1"/>
        <v>20458</v>
      </c>
    </row>
    <row r="18" spans="1:10" ht="15.75" customHeight="1">
      <c r="A18" s="260">
        <v>7</v>
      </c>
      <c r="B18" s="647" t="s">
        <v>737</v>
      </c>
      <c r="C18" s="271">
        <f>'AT3C_cvrg(Insti)_UPY '!G17</f>
        <v>360</v>
      </c>
      <c r="D18" s="530">
        <v>51584</v>
      </c>
      <c r="E18" s="271">
        <v>46</v>
      </c>
      <c r="F18" s="271">
        <f t="shared" si="0"/>
        <v>2372864</v>
      </c>
      <c r="G18" s="271">
        <v>360</v>
      </c>
      <c r="H18" s="649">
        <v>420127</v>
      </c>
      <c r="I18" s="299">
        <v>43</v>
      </c>
      <c r="J18" s="271">
        <f t="shared" si="1"/>
        <v>9770</v>
      </c>
    </row>
    <row r="19" spans="1:10" ht="15.75" customHeight="1">
      <c r="A19" s="260">
        <v>8</v>
      </c>
      <c r="B19" s="647" t="s">
        <v>749</v>
      </c>
      <c r="C19" s="271">
        <f>'AT3C_cvrg(Insti)_UPY '!G18</f>
        <v>481</v>
      </c>
      <c r="D19" s="530">
        <v>79328</v>
      </c>
      <c r="E19" s="271">
        <v>46</v>
      </c>
      <c r="F19" s="271">
        <f t="shared" si="0"/>
        <v>3649088</v>
      </c>
      <c r="G19" s="271">
        <v>481</v>
      </c>
      <c r="H19" s="649">
        <v>828218</v>
      </c>
      <c r="I19" s="299">
        <v>45</v>
      </c>
      <c r="J19" s="271">
        <f t="shared" si="1"/>
        <v>18405</v>
      </c>
    </row>
    <row r="20" spans="1:10" ht="15.75" customHeight="1">
      <c r="A20" s="260">
        <v>9</v>
      </c>
      <c r="B20" s="647" t="s">
        <v>834</v>
      </c>
      <c r="C20" s="271">
        <v>0</v>
      </c>
      <c r="D20" s="531">
        <v>0</v>
      </c>
      <c r="E20" s="271">
        <v>0</v>
      </c>
      <c r="F20" s="271">
        <f t="shared" si="0"/>
        <v>0</v>
      </c>
      <c r="G20" s="271">
        <v>0</v>
      </c>
      <c r="H20" s="649">
        <v>0</v>
      </c>
      <c r="I20" s="299">
        <v>0</v>
      </c>
      <c r="J20" s="271">
        <v>0</v>
      </c>
    </row>
    <row r="21" spans="1:10" ht="15.75" customHeight="1">
      <c r="A21" s="260">
        <v>10</v>
      </c>
      <c r="B21" s="647" t="s">
        <v>739</v>
      </c>
      <c r="C21" s="271">
        <f>'AT3C_cvrg(Insti)_UPY '!G20</f>
        <v>143</v>
      </c>
      <c r="D21" s="530">
        <v>7844</v>
      </c>
      <c r="E21" s="271">
        <v>46</v>
      </c>
      <c r="F21" s="271">
        <f t="shared" si="0"/>
        <v>360824</v>
      </c>
      <c r="G21" s="271">
        <v>143</v>
      </c>
      <c r="H21" s="649">
        <v>119640</v>
      </c>
      <c r="I21" s="299">
        <v>39</v>
      </c>
      <c r="J21" s="271">
        <f t="shared" si="1"/>
        <v>3068</v>
      </c>
    </row>
    <row r="22" spans="1:10" ht="15.75" customHeight="1">
      <c r="A22" s="260">
        <v>11</v>
      </c>
      <c r="B22" s="647" t="s">
        <v>900</v>
      </c>
      <c r="C22" s="271">
        <v>0</v>
      </c>
      <c r="D22" s="288">
        <v>0</v>
      </c>
      <c r="E22" s="271"/>
      <c r="F22" s="271">
        <f t="shared" si="0"/>
        <v>0</v>
      </c>
      <c r="G22" s="271">
        <v>0</v>
      </c>
      <c r="H22" s="649">
        <v>0</v>
      </c>
      <c r="I22" s="299">
        <v>0</v>
      </c>
      <c r="J22" s="271">
        <v>0</v>
      </c>
    </row>
    <row r="23" spans="1:10" ht="15.75" customHeight="1">
      <c r="A23" s="260">
        <v>12</v>
      </c>
      <c r="B23" s="647" t="s">
        <v>731</v>
      </c>
      <c r="C23" s="271">
        <f>'AT3C_cvrg(Insti)_UPY '!G22</f>
        <v>606</v>
      </c>
      <c r="D23" s="530">
        <v>29397</v>
      </c>
      <c r="E23" s="271">
        <v>46</v>
      </c>
      <c r="F23" s="271">
        <f t="shared" si="0"/>
        <v>1352262</v>
      </c>
      <c r="G23" s="271">
        <v>606</v>
      </c>
      <c r="H23" s="649">
        <v>347145</v>
      </c>
      <c r="I23" s="299">
        <v>25</v>
      </c>
      <c r="J23" s="271">
        <f t="shared" si="1"/>
        <v>13886</v>
      </c>
    </row>
    <row r="24" spans="1:10" ht="15.75" customHeight="1">
      <c r="A24" s="260">
        <v>13</v>
      </c>
      <c r="B24" s="647" t="s">
        <v>742</v>
      </c>
      <c r="C24" s="271">
        <f>'AT3C_cvrg(Insti)_UPY '!G23</f>
        <v>413</v>
      </c>
      <c r="D24" s="530">
        <v>30564</v>
      </c>
      <c r="E24" s="271">
        <v>46</v>
      </c>
      <c r="F24" s="271">
        <f t="shared" si="0"/>
        <v>1405944</v>
      </c>
      <c r="G24" s="271">
        <v>413</v>
      </c>
      <c r="H24" s="649">
        <v>440365</v>
      </c>
      <c r="I24" s="299">
        <v>39</v>
      </c>
      <c r="J24" s="271">
        <f t="shared" si="1"/>
        <v>11291</v>
      </c>
    </row>
    <row r="25" spans="1:10" ht="15.75" customHeight="1">
      <c r="A25" s="260">
        <v>14</v>
      </c>
      <c r="B25" s="647" t="s">
        <v>740</v>
      </c>
      <c r="C25" s="271">
        <f>'AT3C_cvrg(Insti)_UPY '!G24</f>
        <v>388</v>
      </c>
      <c r="D25" s="530">
        <v>53163</v>
      </c>
      <c r="E25" s="271">
        <v>46</v>
      </c>
      <c r="F25" s="271">
        <f t="shared" si="0"/>
        <v>2445498</v>
      </c>
      <c r="G25" s="271">
        <v>388</v>
      </c>
      <c r="H25" s="649">
        <v>415855</v>
      </c>
      <c r="I25" s="299">
        <v>45</v>
      </c>
      <c r="J25" s="271">
        <f t="shared" si="1"/>
        <v>9241</v>
      </c>
    </row>
    <row r="26" spans="1:10" ht="15.75" customHeight="1">
      <c r="A26" s="260">
        <v>15</v>
      </c>
      <c r="B26" s="647" t="s">
        <v>734</v>
      </c>
      <c r="C26" s="271">
        <f>'AT3C_cvrg(Insti)_UPY '!G25</f>
        <v>450</v>
      </c>
      <c r="D26" s="530">
        <v>18719</v>
      </c>
      <c r="E26" s="271">
        <v>46</v>
      </c>
      <c r="F26" s="271">
        <f t="shared" si="0"/>
        <v>861074</v>
      </c>
      <c r="G26" s="271">
        <v>450</v>
      </c>
      <c r="H26" s="649">
        <v>292239</v>
      </c>
      <c r="I26" s="299">
        <v>31</v>
      </c>
      <c r="J26" s="271">
        <f t="shared" si="1"/>
        <v>9427</v>
      </c>
    </row>
    <row r="27" spans="1:10" ht="15.75" customHeight="1">
      <c r="A27" s="260">
        <v>16</v>
      </c>
      <c r="B27" s="647" t="s">
        <v>741</v>
      </c>
      <c r="C27" s="271">
        <f>'AT3C_cvrg(Insti)_UPY '!G26</f>
        <v>638</v>
      </c>
      <c r="D27" s="530">
        <v>80203</v>
      </c>
      <c r="E27" s="271">
        <v>46</v>
      </c>
      <c r="F27" s="271">
        <f t="shared" si="0"/>
        <v>3689338</v>
      </c>
      <c r="G27" s="271">
        <v>638</v>
      </c>
      <c r="H27" s="649">
        <v>1035982</v>
      </c>
      <c r="I27" s="299">
        <v>45</v>
      </c>
      <c r="J27" s="271">
        <f t="shared" si="1"/>
        <v>23022</v>
      </c>
    </row>
    <row r="28" spans="1:10" ht="15.75" customHeight="1">
      <c r="A28" s="260">
        <v>17</v>
      </c>
      <c r="B28" s="647" t="s">
        <v>733</v>
      </c>
      <c r="C28" s="271">
        <f>'AT3C_cvrg(Insti)_UPY '!G27</f>
        <v>417</v>
      </c>
      <c r="D28" s="530">
        <v>30157</v>
      </c>
      <c r="E28" s="271">
        <v>46</v>
      </c>
      <c r="F28" s="271">
        <f t="shared" si="0"/>
        <v>1387222</v>
      </c>
      <c r="G28" s="271">
        <v>417</v>
      </c>
      <c r="H28" s="649">
        <v>420733</v>
      </c>
      <c r="I28" s="299">
        <v>44</v>
      </c>
      <c r="J28" s="271">
        <f t="shared" si="1"/>
        <v>9562</v>
      </c>
    </row>
    <row r="29" spans="1:10" ht="15.75" customHeight="1">
      <c r="A29" s="260">
        <v>18</v>
      </c>
      <c r="B29" s="647" t="s">
        <v>735</v>
      </c>
      <c r="C29" s="271">
        <f>'AT3C_cvrg(Insti)_UPY '!G28</f>
        <v>790</v>
      </c>
      <c r="D29" s="530">
        <v>35645</v>
      </c>
      <c r="E29" s="271">
        <v>46</v>
      </c>
      <c r="F29" s="271">
        <f t="shared" si="0"/>
        <v>1639670</v>
      </c>
      <c r="G29" s="271">
        <v>790</v>
      </c>
      <c r="H29" s="649">
        <v>386960</v>
      </c>
      <c r="I29" s="299">
        <v>17</v>
      </c>
      <c r="J29" s="271">
        <f t="shared" si="1"/>
        <v>22762</v>
      </c>
    </row>
    <row r="30" spans="1:10" ht="15.75" customHeight="1">
      <c r="A30" s="260">
        <v>19</v>
      </c>
      <c r="B30" s="647" t="s">
        <v>732</v>
      </c>
      <c r="C30" s="271">
        <f>'AT3C_cvrg(Insti)_UPY '!G29</f>
        <v>525</v>
      </c>
      <c r="D30" s="532">
        <v>11654</v>
      </c>
      <c r="E30" s="271">
        <v>46</v>
      </c>
      <c r="F30" s="271">
        <f t="shared" si="0"/>
        <v>536084</v>
      </c>
      <c r="G30" s="271">
        <v>525</v>
      </c>
      <c r="H30" s="649">
        <v>169379</v>
      </c>
      <c r="I30" s="299">
        <v>34</v>
      </c>
      <c r="J30" s="271">
        <f t="shared" si="1"/>
        <v>4982</v>
      </c>
    </row>
    <row r="31" spans="1:10" ht="15.75" customHeight="1">
      <c r="A31" s="260">
        <v>20</v>
      </c>
      <c r="B31" s="647" t="s">
        <v>836</v>
      </c>
      <c r="C31" s="271">
        <v>0</v>
      </c>
      <c r="D31" s="531">
        <v>0</v>
      </c>
      <c r="E31" s="271">
        <v>0</v>
      </c>
      <c r="F31" s="271">
        <f t="shared" si="0"/>
        <v>0</v>
      </c>
      <c r="G31" s="271">
        <v>0</v>
      </c>
      <c r="H31" s="649">
        <v>0</v>
      </c>
      <c r="I31" s="299">
        <v>0</v>
      </c>
      <c r="J31" s="271">
        <v>0</v>
      </c>
    </row>
    <row r="32" spans="1:10" ht="15.75" customHeight="1">
      <c r="A32" s="260">
        <v>21</v>
      </c>
      <c r="B32" s="647" t="s">
        <v>729</v>
      </c>
      <c r="C32" s="271">
        <f>'AT3C_cvrg(Insti)_UPY '!G31</f>
        <v>495</v>
      </c>
      <c r="D32" s="530">
        <v>52883</v>
      </c>
      <c r="E32" s="271">
        <v>46</v>
      </c>
      <c r="F32" s="271">
        <f t="shared" si="0"/>
        <v>2432618</v>
      </c>
      <c r="G32" s="271">
        <v>495</v>
      </c>
      <c r="H32" s="649">
        <v>658270</v>
      </c>
      <c r="I32" s="299">
        <v>44</v>
      </c>
      <c r="J32" s="271">
        <f t="shared" si="1"/>
        <v>14961</v>
      </c>
    </row>
    <row r="33" spans="1:10" ht="15.75" customHeight="1">
      <c r="A33" s="260">
        <v>22</v>
      </c>
      <c r="B33" s="647" t="s">
        <v>746</v>
      </c>
      <c r="C33" s="271">
        <f>'AT3C_cvrg(Insti)_UPY '!G32</f>
        <v>501</v>
      </c>
      <c r="D33" s="530">
        <v>57196</v>
      </c>
      <c r="E33" s="271">
        <v>46</v>
      </c>
      <c r="F33" s="271">
        <f t="shared" si="0"/>
        <v>2631016</v>
      </c>
      <c r="G33" s="271">
        <v>501</v>
      </c>
      <c r="H33" s="649">
        <v>803425</v>
      </c>
      <c r="I33" s="299">
        <v>45</v>
      </c>
      <c r="J33" s="271">
        <f t="shared" si="1"/>
        <v>17854</v>
      </c>
    </row>
    <row r="34" spans="1:10" ht="15.75" customHeight="1">
      <c r="A34" s="260">
        <v>23</v>
      </c>
      <c r="B34" s="647" t="s">
        <v>738</v>
      </c>
      <c r="C34" s="271">
        <f>'AT3C_cvrg(Insti)_UPY '!G33</f>
        <v>452</v>
      </c>
      <c r="D34" s="530">
        <v>36441</v>
      </c>
      <c r="E34" s="271">
        <v>46</v>
      </c>
      <c r="F34" s="271">
        <f t="shared" si="0"/>
        <v>1676286</v>
      </c>
      <c r="G34" s="271">
        <v>452</v>
      </c>
      <c r="H34" s="649">
        <v>498243</v>
      </c>
      <c r="I34" s="299">
        <v>45</v>
      </c>
      <c r="J34" s="271">
        <f t="shared" si="1"/>
        <v>11072</v>
      </c>
    </row>
    <row r="35" spans="1:10" ht="15.75" customHeight="1">
      <c r="A35" s="260">
        <v>24</v>
      </c>
      <c r="B35" s="647" t="s">
        <v>730</v>
      </c>
      <c r="C35" s="271">
        <f>'AT3C_cvrg(Insti)_UPY '!G34</f>
        <v>615</v>
      </c>
      <c r="D35" s="530">
        <v>37863</v>
      </c>
      <c r="E35" s="271">
        <v>46</v>
      </c>
      <c r="F35" s="271">
        <f t="shared" si="0"/>
        <v>1741698</v>
      </c>
      <c r="G35" s="271">
        <v>615</v>
      </c>
      <c r="H35" s="649">
        <v>697883</v>
      </c>
      <c r="I35" s="299">
        <v>42</v>
      </c>
      <c r="J35" s="271">
        <f t="shared" si="1"/>
        <v>16616</v>
      </c>
    </row>
    <row r="36" spans="1:10" ht="15.75" customHeight="1">
      <c r="A36" s="260">
        <v>25</v>
      </c>
      <c r="B36" s="647" t="s">
        <v>736</v>
      </c>
      <c r="C36" s="271">
        <f>'AT3C_cvrg(Insti)_UPY '!G35</f>
        <v>237</v>
      </c>
      <c r="D36" s="530">
        <v>10750</v>
      </c>
      <c r="E36" s="271">
        <v>46</v>
      </c>
      <c r="F36" s="271">
        <f t="shared" si="0"/>
        <v>494500</v>
      </c>
      <c r="G36" s="271">
        <v>237</v>
      </c>
      <c r="H36" s="649">
        <v>228862</v>
      </c>
      <c r="I36" s="299">
        <v>37</v>
      </c>
      <c r="J36" s="271">
        <f t="shared" si="1"/>
        <v>6185</v>
      </c>
    </row>
    <row r="37" spans="1:10" ht="15.75" customHeight="1">
      <c r="A37" s="260">
        <v>26</v>
      </c>
      <c r="B37" s="647" t="s">
        <v>744</v>
      </c>
      <c r="C37" s="271">
        <f>'AT3C_cvrg(Insti)_UPY '!G36</f>
        <v>207</v>
      </c>
      <c r="D37" s="530">
        <v>11019</v>
      </c>
      <c r="E37" s="271">
        <v>46</v>
      </c>
      <c r="F37" s="271">
        <f t="shared" si="0"/>
        <v>506874</v>
      </c>
      <c r="G37" s="271">
        <v>207</v>
      </c>
      <c r="H37" s="649">
        <v>251835</v>
      </c>
      <c r="I37" s="299">
        <v>33</v>
      </c>
      <c r="J37" s="271">
        <f t="shared" si="1"/>
        <v>7631</v>
      </c>
    </row>
    <row r="38" spans="1:10" ht="15.75" customHeight="1">
      <c r="A38" s="262">
        <v>27</v>
      </c>
      <c r="B38" s="647" t="s">
        <v>745</v>
      </c>
      <c r="C38" s="271">
        <f>'AT3C_cvrg(Insti)_UPY '!G37</f>
        <v>275</v>
      </c>
      <c r="D38" s="530">
        <v>40667</v>
      </c>
      <c r="E38" s="271">
        <v>46</v>
      </c>
      <c r="F38" s="271">
        <f t="shared" si="0"/>
        <v>1870682</v>
      </c>
      <c r="G38" s="271">
        <v>275</v>
      </c>
      <c r="H38" s="649">
        <v>451869</v>
      </c>
      <c r="I38" s="299">
        <v>45</v>
      </c>
      <c r="J38" s="271">
        <f t="shared" si="1"/>
        <v>10042</v>
      </c>
    </row>
    <row r="39" spans="1:10" ht="12.75">
      <c r="A39" s="3" t="s">
        <v>19</v>
      </c>
      <c r="B39" s="29"/>
      <c r="C39" s="274">
        <f>SUM(C12:C38)</f>
        <v>10492</v>
      </c>
      <c r="D39" s="300">
        <f>SUM(D12:D38)</f>
        <v>904505</v>
      </c>
      <c r="E39" s="274">
        <v>46</v>
      </c>
      <c r="F39" s="300">
        <f>SUM(F12:F38)</f>
        <v>41607230</v>
      </c>
      <c r="G39" s="300">
        <f>SUM(G12:G38)</f>
        <v>10492</v>
      </c>
      <c r="H39" s="650">
        <f>SUM(H12:H38)</f>
        <v>10649996</v>
      </c>
      <c r="I39" s="434">
        <v>39</v>
      </c>
      <c r="J39" s="271">
        <f>ROUND(H39/I39,0)</f>
        <v>273077</v>
      </c>
    </row>
    <row r="40" spans="1:10" ht="12.75">
      <c r="A40" s="977" t="s">
        <v>1040</v>
      </c>
      <c r="B40" s="977"/>
      <c r="C40" s="977"/>
      <c r="D40" s="977"/>
      <c r="E40" s="977"/>
      <c r="F40" s="977"/>
      <c r="G40" s="977"/>
      <c r="H40" s="977"/>
      <c r="I40" s="977"/>
      <c r="J40" s="977"/>
    </row>
    <row r="41" spans="1:10" ht="12.75">
      <c r="A41" s="11"/>
      <c r="B41" s="30"/>
      <c r="C41" s="30"/>
      <c r="D41" s="21"/>
      <c r="E41" s="21"/>
      <c r="F41" s="21"/>
      <c r="G41" s="21"/>
      <c r="H41" s="21"/>
      <c r="I41" s="21"/>
      <c r="J41" s="21"/>
    </row>
    <row r="42" spans="1:10" ht="12.75">
      <c r="A42" s="11"/>
      <c r="B42" s="30"/>
      <c r="C42" s="30"/>
      <c r="D42" s="21"/>
      <c r="E42" s="21"/>
      <c r="F42" s="21"/>
      <c r="G42" s="21"/>
      <c r="H42" s="21"/>
      <c r="I42" s="21"/>
      <c r="J42" s="21"/>
    </row>
    <row r="43" spans="1:10" ht="15.75" customHeight="1">
      <c r="A43" s="14" t="s">
        <v>12</v>
      </c>
      <c r="B43" s="14"/>
      <c r="C43" s="14"/>
      <c r="D43" s="14"/>
      <c r="E43" s="14"/>
      <c r="F43" s="14"/>
      <c r="G43" s="881" t="s">
        <v>13</v>
      </c>
      <c r="H43" s="881"/>
      <c r="I43" s="83"/>
      <c r="J43" s="14"/>
    </row>
    <row r="44" spans="1:10" ht="12.75" customHeight="1">
      <c r="A44" s="83"/>
      <c r="B44" s="83"/>
      <c r="C44" s="83"/>
      <c r="D44" s="83"/>
      <c r="E44" s="83"/>
      <c r="F44" s="881" t="s">
        <v>14</v>
      </c>
      <c r="G44" s="881"/>
      <c r="H44" s="881"/>
      <c r="I44" s="881"/>
      <c r="J44" s="83"/>
    </row>
    <row r="45" spans="1:10" ht="12.75" customHeight="1">
      <c r="A45" s="83"/>
      <c r="B45" s="83"/>
      <c r="C45" s="83"/>
      <c r="D45" s="83"/>
      <c r="E45" s="881" t="s">
        <v>637</v>
      </c>
      <c r="F45" s="881"/>
      <c r="G45" s="881"/>
      <c r="H45" s="881"/>
      <c r="I45" s="881"/>
      <c r="J45" s="881"/>
    </row>
    <row r="46" spans="1:10" ht="12.75">
      <c r="A46" s="14"/>
      <c r="B46" s="14"/>
      <c r="C46" s="14"/>
      <c r="E46" s="14"/>
      <c r="F46" s="14"/>
      <c r="G46" s="1" t="s">
        <v>84</v>
      </c>
      <c r="H46" s="1"/>
      <c r="I46" s="1"/>
      <c r="J46" s="1"/>
    </row>
    <row r="50" spans="1:10" ht="12.75">
      <c r="A50" s="978"/>
      <c r="B50" s="978"/>
      <c r="C50" s="978"/>
      <c r="D50" s="978"/>
      <c r="E50" s="978"/>
      <c r="F50" s="978"/>
      <c r="G50" s="978"/>
      <c r="H50" s="978"/>
      <c r="I50" s="978"/>
      <c r="J50" s="978"/>
    </row>
    <row r="52" spans="1:10" ht="12.75">
      <c r="A52" s="978"/>
      <c r="B52" s="978"/>
      <c r="C52" s="978"/>
      <c r="D52" s="978"/>
      <c r="E52" s="978"/>
      <c r="F52" s="978"/>
      <c r="G52" s="978"/>
      <c r="H52" s="978"/>
      <c r="I52" s="978"/>
      <c r="J52" s="978"/>
    </row>
  </sheetData>
  <sheetProtection/>
  <mergeCells count="16">
    <mergeCell ref="E1:I1"/>
    <mergeCell ref="A2:J2"/>
    <mergeCell ref="A3:J3"/>
    <mergeCell ref="A5:J5"/>
    <mergeCell ref="A8:B8"/>
    <mergeCell ref="H8:J8"/>
    <mergeCell ref="A50:J50"/>
    <mergeCell ref="A52:J52"/>
    <mergeCell ref="A9:A10"/>
    <mergeCell ref="B9:B10"/>
    <mergeCell ref="C9:F9"/>
    <mergeCell ref="G9:J9"/>
    <mergeCell ref="G43:H43"/>
    <mergeCell ref="F44:I44"/>
    <mergeCell ref="E45:J45"/>
    <mergeCell ref="A40:J40"/>
  </mergeCells>
  <printOptions horizontalCentered="1"/>
  <pageMargins left="0.7086614173228347" right="0.7086614173228347" top="0.58" bottom="0" header="0.57" footer="0.17"/>
  <pageSetup fitToHeight="1" fitToWidth="1" horizontalDpi="600" verticalDpi="600" orientation="landscape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T48"/>
  <sheetViews>
    <sheetView view="pageBreakPreview" zoomScale="90" zoomScaleSheetLayoutView="90" zoomScalePageLayoutView="0" workbookViewId="0" topLeftCell="E11">
      <selection activeCell="M11" sqref="M1:N16384"/>
    </sheetView>
  </sheetViews>
  <sheetFormatPr defaultColWidth="9.140625" defaultRowHeight="12.75"/>
  <cols>
    <col min="1" max="1" width="6.7109375" style="15" customWidth="1"/>
    <col min="2" max="2" width="16.00390625" style="15" customWidth="1"/>
    <col min="3" max="3" width="12.00390625" style="15" customWidth="1"/>
    <col min="4" max="4" width="10.421875" style="15" customWidth="1"/>
    <col min="5" max="5" width="10.140625" style="15" customWidth="1"/>
    <col min="6" max="6" width="13.00390625" style="15" customWidth="1"/>
    <col min="7" max="7" width="12.28125" style="15" customWidth="1"/>
    <col min="8" max="8" width="12.421875" style="15" customWidth="1"/>
    <col min="9" max="9" width="12.140625" style="15" customWidth="1"/>
    <col min="10" max="10" width="11.7109375" style="15" customWidth="1"/>
    <col min="11" max="11" width="12.8515625" style="15" customWidth="1"/>
    <col min="12" max="12" width="14.140625" style="15" customWidth="1"/>
    <col min="13" max="13" width="10.7109375" style="15" customWidth="1"/>
    <col min="14" max="17" width="9.140625" style="15" customWidth="1"/>
    <col min="18" max="18" width="9.28125" style="15" bestFit="1" customWidth="1"/>
    <col min="19" max="16384" width="9.140625" style="15" customWidth="1"/>
  </cols>
  <sheetData>
    <row r="1" spans="4:13" ht="15">
      <c r="D1" s="35"/>
      <c r="E1" s="35"/>
      <c r="F1" s="35"/>
      <c r="G1" s="35"/>
      <c r="H1" s="35"/>
      <c r="I1" s="35"/>
      <c r="J1" s="35"/>
      <c r="K1" s="35"/>
      <c r="L1" s="134" t="s">
        <v>63</v>
      </c>
      <c r="M1" s="42"/>
    </row>
    <row r="2" spans="1:13" ht="15">
      <c r="A2" s="969" t="s">
        <v>0</v>
      </c>
      <c r="B2" s="969"/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44"/>
    </row>
    <row r="3" spans="1:13" ht="20.25">
      <c r="A3" s="902" t="s">
        <v>859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43"/>
    </row>
    <row r="4" ht="10.5" customHeight="1"/>
    <row r="5" spans="1:12" ht="19.5" customHeight="1">
      <c r="A5" s="971" t="s">
        <v>937</v>
      </c>
      <c r="B5" s="971"/>
      <c r="C5" s="971"/>
      <c r="D5" s="971"/>
      <c r="E5" s="971"/>
      <c r="F5" s="971"/>
      <c r="G5" s="971"/>
      <c r="H5" s="971"/>
      <c r="I5" s="971"/>
      <c r="J5" s="971"/>
      <c r="K5" s="971"/>
      <c r="L5" s="971"/>
    </row>
    <row r="6" spans="1:12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898" t="s">
        <v>634</v>
      </c>
      <c r="B7" s="898"/>
      <c r="F7" s="979" t="s">
        <v>20</v>
      </c>
      <c r="G7" s="979"/>
      <c r="H7" s="979"/>
      <c r="I7" s="979"/>
      <c r="J7" s="979"/>
      <c r="K7" s="979"/>
      <c r="L7" s="979"/>
    </row>
    <row r="8" spans="1:12" ht="12.75">
      <c r="A8" s="14"/>
      <c r="F8" s="16"/>
      <c r="G8" s="100"/>
      <c r="H8" s="100"/>
      <c r="I8" s="980" t="s">
        <v>936</v>
      </c>
      <c r="J8" s="980"/>
      <c r="K8" s="980"/>
      <c r="L8" s="980"/>
    </row>
    <row r="9" spans="1:16" s="14" customFormat="1" ht="12.75">
      <c r="A9" s="871" t="s">
        <v>2</v>
      </c>
      <c r="B9" s="871" t="s">
        <v>3</v>
      </c>
      <c r="C9" s="894" t="s">
        <v>21</v>
      </c>
      <c r="D9" s="895"/>
      <c r="E9" s="895"/>
      <c r="F9" s="895"/>
      <c r="G9" s="895"/>
      <c r="H9" s="894" t="s">
        <v>42</v>
      </c>
      <c r="I9" s="895"/>
      <c r="J9" s="895"/>
      <c r="K9" s="895"/>
      <c r="L9" s="895"/>
      <c r="O9" s="29"/>
      <c r="P9" s="30"/>
    </row>
    <row r="10" spans="1:12" s="14" customFormat="1" ht="65.25" customHeight="1">
      <c r="A10" s="871"/>
      <c r="B10" s="871"/>
      <c r="C10" s="5" t="s">
        <v>938</v>
      </c>
      <c r="D10" s="5" t="s">
        <v>939</v>
      </c>
      <c r="E10" s="5" t="s">
        <v>70</v>
      </c>
      <c r="F10" s="5" t="s">
        <v>71</v>
      </c>
      <c r="G10" s="5" t="s">
        <v>942</v>
      </c>
      <c r="H10" s="5" t="s">
        <v>640</v>
      </c>
      <c r="I10" s="5" t="s">
        <v>940</v>
      </c>
      <c r="J10" s="5" t="s">
        <v>70</v>
      </c>
      <c r="K10" s="5" t="s">
        <v>71</v>
      </c>
      <c r="L10" s="5" t="s">
        <v>361</v>
      </c>
    </row>
    <row r="11" spans="1:12" s="14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20" s="14" customFormat="1" ht="12.75">
      <c r="A12" s="581">
        <v>1</v>
      </c>
      <c r="B12" s="586" t="s">
        <v>898</v>
      </c>
      <c r="C12" s="312">
        <f>'AT5_PLAN_vs_PRFM'!D12*'AT5_PLAN_vs_PRFM'!E12*100/1000000+'AT5C_Drought_PLAN_vs_PRFM '!D12*'AT5C_Drought_PLAN_vs_PRFM '!E12*100/1000000</f>
        <v>1305.024</v>
      </c>
      <c r="D12" s="314">
        <v>24.14007565572946</v>
      </c>
      <c r="E12" s="314">
        <v>1234.3828465403358</v>
      </c>
      <c r="F12" s="315">
        <v>1164.0065</v>
      </c>
      <c r="G12" s="315">
        <f>D12+E12-F12</f>
        <v>94.51642219606538</v>
      </c>
      <c r="H12" s="317"/>
      <c r="I12" s="317"/>
      <c r="J12" s="316"/>
      <c r="K12" s="7"/>
      <c r="L12" s="5"/>
      <c r="M12" s="308"/>
      <c r="N12" s="308"/>
      <c r="O12" s="308"/>
      <c r="P12" s="308"/>
      <c r="Q12" s="308"/>
      <c r="R12" s="308"/>
      <c r="T12" s="308"/>
    </row>
    <row r="13" spans="1:20" s="14" customFormat="1" ht="12.75">
      <c r="A13" s="581">
        <v>2</v>
      </c>
      <c r="B13" s="586" t="s">
        <v>899</v>
      </c>
      <c r="C13" s="312">
        <f>'AT5_PLAN_vs_PRFM'!D13*'AT5_PLAN_vs_PRFM'!E13*100/1000000+'AT5C_Drought_PLAN_vs_PRFM '!D13*'AT5C_Drought_PLAN_vs_PRFM '!E13*100/1000000</f>
        <v>1511.952</v>
      </c>
      <c r="D13" s="314">
        <v>29.2996305930343</v>
      </c>
      <c r="E13" s="314">
        <v>1436.8236646124963</v>
      </c>
      <c r="F13" s="315">
        <v>1351.4055</v>
      </c>
      <c r="G13" s="315">
        <f aca="true" t="shared" si="0" ref="G13:G38">D13+E13-F13</f>
        <v>114.71779520553059</v>
      </c>
      <c r="H13" s="317"/>
      <c r="I13" s="317"/>
      <c r="J13" s="7"/>
      <c r="K13" s="7"/>
      <c r="L13" s="5"/>
      <c r="M13" s="308"/>
      <c r="N13" s="308"/>
      <c r="O13" s="308"/>
      <c r="P13" s="308"/>
      <c r="Q13" s="308"/>
      <c r="R13" s="308"/>
      <c r="T13" s="308"/>
    </row>
    <row r="14" spans="1:20" s="14" customFormat="1" ht="12.75">
      <c r="A14" s="581">
        <v>3</v>
      </c>
      <c r="B14" s="586" t="s">
        <v>839</v>
      </c>
      <c r="C14" s="312">
        <f>'AT5_PLAN_vs_PRFM'!D14*'AT5_PLAN_vs_PRFM'!E14*100/1000000+'AT5C_Drought_PLAN_vs_PRFM '!D14*'AT5C_Drought_PLAN_vs_PRFM '!E14*100/1000000</f>
        <v>1234.56</v>
      </c>
      <c r="D14" s="314">
        <v>22.836646530284014</v>
      </c>
      <c r="E14" s="314">
        <v>1119.3499172803238</v>
      </c>
      <c r="F14" s="315">
        <v>1052.7735</v>
      </c>
      <c r="G14" s="315">
        <f t="shared" si="0"/>
        <v>89.41306381060781</v>
      </c>
      <c r="H14" s="317"/>
      <c r="I14" s="317"/>
      <c r="J14" s="7"/>
      <c r="K14" s="7"/>
      <c r="L14" s="5"/>
      <c r="M14" s="308"/>
      <c r="N14" s="308"/>
      <c r="O14" s="308"/>
      <c r="P14" s="308"/>
      <c r="Q14" s="308"/>
      <c r="R14" s="308"/>
      <c r="T14" s="308"/>
    </row>
    <row r="15" spans="1:20" s="14" customFormat="1" ht="12.75">
      <c r="A15" s="581">
        <v>4</v>
      </c>
      <c r="B15" s="586" t="s">
        <v>743</v>
      </c>
      <c r="C15" s="312">
        <f>'AT5_PLAN_vs_PRFM'!D15*'AT5_PLAN_vs_PRFM'!E15*100/1000000+'AT5C_Drought_PLAN_vs_PRFM '!D15*'AT5C_Drought_PLAN_vs_PRFM '!E15*100/1000000</f>
        <v>3790.1193999999996</v>
      </c>
      <c r="D15" s="314">
        <v>70.99677300319608</v>
      </c>
      <c r="E15" s="314">
        <v>3022.0958980512128</v>
      </c>
      <c r="F15" s="315">
        <v>2815.1167</v>
      </c>
      <c r="G15" s="315">
        <f t="shared" si="0"/>
        <v>277.975971054409</v>
      </c>
      <c r="H15" s="317"/>
      <c r="I15" s="317"/>
      <c r="J15" s="7"/>
      <c r="K15" s="7"/>
      <c r="L15" s="5"/>
      <c r="M15" s="308"/>
      <c r="N15" s="308"/>
      <c r="O15" s="308"/>
      <c r="P15" s="308"/>
      <c r="Q15" s="308"/>
      <c r="R15" s="308"/>
      <c r="T15" s="308"/>
    </row>
    <row r="16" spans="1:20" s="14" customFormat="1" ht="12.75">
      <c r="A16" s="581">
        <v>5</v>
      </c>
      <c r="B16" s="586" t="s">
        <v>748</v>
      </c>
      <c r="C16" s="312">
        <f>'AT5_PLAN_vs_PRFM'!D16*'AT5_PLAN_vs_PRFM'!E16*100/1000000+'AT5C_Drought_PLAN_vs_PRFM '!D16*'AT5C_Drought_PLAN_vs_PRFM '!E16*100/1000000</f>
        <v>2242.4901999999997</v>
      </c>
      <c r="D16" s="314">
        <v>41.48113987576619</v>
      </c>
      <c r="E16" s="314">
        <v>1868.7762142352226</v>
      </c>
      <c r="F16" s="315">
        <v>1747.8449</v>
      </c>
      <c r="G16" s="315">
        <f t="shared" si="0"/>
        <v>162.41245411098862</v>
      </c>
      <c r="H16" s="317"/>
      <c r="I16" s="317"/>
      <c r="J16" s="7"/>
      <c r="K16" s="7"/>
      <c r="L16" s="5"/>
      <c r="M16" s="308"/>
      <c r="N16" s="308"/>
      <c r="O16" s="308"/>
      <c r="P16" s="308"/>
      <c r="Q16" s="308"/>
      <c r="R16" s="308"/>
      <c r="T16" s="308"/>
    </row>
    <row r="17" spans="1:20" s="14" customFormat="1" ht="12.75">
      <c r="A17" s="581">
        <v>6</v>
      </c>
      <c r="B17" s="586" t="s">
        <v>747</v>
      </c>
      <c r="C17" s="312">
        <f>'AT5_PLAN_vs_PRFM'!D17*'AT5_PLAN_vs_PRFM'!E17*100/1000000+'AT5C_Drought_PLAN_vs_PRFM '!D17*'AT5C_Drought_PLAN_vs_PRFM '!E17*100/1000000</f>
        <v>3093.5694000000003</v>
      </c>
      <c r="D17" s="314">
        <v>57.44620809281543</v>
      </c>
      <c r="E17" s="314">
        <v>2554.3403960952924</v>
      </c>
      <c r="F17" s="315">
        <v>2386.8655999999996</v>
      </c>
      <c r="G17" s="315">
        <f t="shared" si="0"/>
        <v>224.92100418810833</v>
      </c>
      <c r="H17" s="317"/>
      <c r="I17" s="317"/>
      <c r="J17" s="7"/>
      <c r="K17" s="7"/>
      <c r="L17" s="5"/>
      <c r="M17" s="308"/>
      <c r="N17" s="308"/>
      <c r="O17" s="308"/>
      <c r="P17" s="308"/>
      <c r="Q17" s="308"/>
      <c r="R17" s="308"/>
      <c r="T17" s="308"/>
    </row>
    <row r="18" spans="1:20" s="14" customFormat="1" ht="12.75">
      <c r="A18" s="581">
        <v>7</v>
      </c>
      <c r="B18" s="586" t="s">
        <v>737</v>
      </c>
      <c r="C18" s="312">
        <f>'AT5_PLAN_vs_PRFM'!D18*'AT5_PLAN_vs_PRFM'!E18*100/1000000+'AT5C_Drought_PLAN_vs_PRFM '!D18*'AT5C_Drought_PLAN_vs_PRFM '!E18*100/1000000</f>
        <v>1708.1016</v>
      </c>
      <c r="D18" s="314">
        <v>31.862493671468922</v>
      </c>
      <c r="E18" s="314">
        <v>1414.4206625774573</v>
      </c>
      <c r="F18" s="315">
        <v>1321.5309000000002</v>
      </c>
      <c r="G18" s="315">
        <f t="shared" si="0"/>
        <v>124.75225624892596</v>
      </c>
      <c r="H18" s="317"/>
      <c r="I18" s="317"/>
      <c r="J18" s="7"/>
      <c r="K18" s="7"/>
      <c r="L18" s="5"/>
      <c r="M18" s="308"/>
      <c r="N18" s="308"/>
      <c r="O18" s="308"/>
      <c r="P18" s="308"/>
      <c r="Q18" s="308"/>
      <c r="R18" s="308"/>
      <c r="T18" s="308"/>
    </row>
    <row r="19" spans="1:20" s="14" customFormat="1" ht="12.75">
      <c r="A19" s="581">
        <v>8</v>
      </c>
      <c r="B19" s="586" t="s">
        <v>749</v>
      </c>
      <c r="C19" s="312">
        <f>'AT5_PLAN_vs_PRFM'!D19*'AT5_PLAN_vs_PRFM'!E19*100/1000000+'AT5C_Drought_PLAN_vs_PRFM '!D19*'AT5C_Drought_PLAN_vs_PRFM '!E19*100/1000000</f>
        <v>2655.5447999999997</v>
      </c>
      <c r="D19" s="314">
        <v>49.121742112925865</v>
      </c>
      <c r="E19" s="314">
        <v>2126.3750100759735</v>
      </c>
      <c r="F19" s="315">
        <v>1983.1688</v>
      </c>
      <c r="G19" s="315">
        <f t="shared" si="0"/>
        <v>192.32795218889942</v>
      </c>
      <c r="H19" s="317"/>
      <c r="I19" s="317"/>
      <c r="J19" s="7"/>
      <c r="K19" s="7"/>
      <c r="L19" s="5"/>
      <c r="M19" s="308"/>
      <c r="N19" s="308"/>
      <c r="O19" s="308"/>
      <c r="P19" s="308"/>
      <c r="Q19" s="308"/>
      <c r="R19" s="308"/>
      <c r="T19" s="308"/>
    </row>
    <row r="20" spans="1:20" s="14" customFormat="1" ht="12.75">
      <c r="A20" s="581">
        <v>9</v>
      </c>
      <c r="B20" s="586" t="s">
        <v>834</v>
      </c>
      <c r="C20" s="312">
        <f>'AT5_PLAN_vs_PRFM'!D20*'AT5_PLAN_vs_PRFM'!E20*100/1000000+'AT5C_Drought_PLAN_vs_PRFM '!D20*'AT5C_Drought_PLAN_vs_PRFM '!E20*100/1000000</f>
        <v>1458.744</v>
      </c>
      <c r="D20" s="314">
        <v>26.983557790769687</v>
      </c>
      <c r="E20" s="314">
        <v>1346.3346423544974</v>
      </c>
      <c r="F20" s="315">
        <v>1267.6686</v>
      </c>
      <c r="G20" s="315">
        <f t="shared" si="0"/>
        <v>105.64960014526719</v>
      </c>
      <c r="H20" s="317"/>
      <c r="I20" s="317"/>
      <c r="J20" s="7"/>
      <c r="K20" s="7"/>
      <c r="L20" s="5"/>
      <c r="M20" s="308"/>
      <c r="N20" s="308"/>
      <c r="O20" s="308"/>
      <c r="P20" s="308"/>
      <c r="Q20" s="308"/>
      <c r="R20" s="308"/>
      <c r="T20" s="308"/>
    </row>
    <row r="21" spans="1:20" s="14" customFormat="1" ht="12.75">
      <c r="A21" s="581">
        <v>10</v>
      </c>
      <c r="B21" s="586" t="s">
        <v>739</v>
      </c>
      <c r="C21" s="312">
        <f>'AT5_PLAN_vs_PRFM'!D21*'AT5_PLAN_vs_PRFM'!E21*100/1000000+'AT5C_Drought_PLAN_vs_PRFM '!D21*'AT5C_Drought_PLAN_vs_PRFM '!E21*100/1000000</f>
        <v>424.1526</v>
      </c>
      <c r="D21" s="314">
        <v>7.84589084459317</v>
      </c>
      <c r="E21" s="314">
        <v>390.6675803850232</v>
      </c>
      <c r="F21" s="315">
        <v>367.7942</v>
      </c>
      <c r="G21" s="315">
        <f t="shared" si="0"/>
        <v>30.719271229616368</v>
      </c>
      <c r="H21" s="317"/>
      <c r="I21" s="317"/>
      <c r="J21" s="7"/>
      <c r="K21" s="7"/>
      <c r="L21" s="5"/>
      <c r="M21" s="308"/>
      <c r="N21" s="308"/>
      <c r="O21" s="308"/>
      <c r="P21" s="308"/>
      <c r="Q21" s="308"/>
      <c r="R21" s="308"/>
      <c r="T21" s="308"/>
    </row>
    <row r="22" spans="1:20" s="14" customFormat="1" ht="12.75">
      <c r="A22" s="581">
        <v>11</v>
      </c>
      <c r="B22" s="586" t="s">
        <v>900</v>
      </c>
      <c r="C22" s="312">
        <f>'AT5_PLAN_vs_PRFM'!D22*'AT5_PLAN_vs_PRFM'!E22*100/1000000+'AT5C_Drought_PLAN_vs_PRFM '!D22*'AT5C_Drought_PLAN_vs_PRFM '!E22*100/1000000</f>
        <v>581.496</v>
      </c>
      <c r="D22" s="314">
        <v>10.756397915673627</v>
      </c>
      <c r="E22" s="314">
        <v>513.8235761719473</v>
      </c>
      <c r="F22" s="315">
        <v>482.4651</v>
      </c>
      <c r="G22" s="315">
        <f t="shared" si="0"/>
        <v>42.11487408762082</v>
      </c>
      <c r="H22" s="317"/>
      <c r="I22" s="317"/>
      <c r="J22" s="7"/>
      <c r="K22" s="7"/>
      <c r="L22" s="5"/>
      <c r="M22" s="308"/>
      <c r="N22" s="308"/>
      <c r="O22" s="308"/>
      <c r="P22" s="308"/>
      <c r="Q22" s="308"/>
      <c r="R22" s="308"/>
      <c r="T22" s="308"/>
    </row>
    <row r="23" spans="1:20" ht="12.75">
      <c r="A23" s="581">
        <v>12</v>
      </c>
      <c r="B23" s="586" t="s">
        <v>731</v>
      </c>
      <c r="C23" s="312">
        <f>'AT5_PLAN_vs_PRFM'!D23*'AT5_PLAN_vs_PRFM'!E23*100/1000000+'AT5C_Drought_PLAN_vs_PRFM '!D23*'AT5C_Drought_PLAN_vs_PRFM '!E23*100/1000000</f>
        <v>1372.1188000000002</v>
      </c>
      <c r="D23" s="272">
        <v>25.381181986422266</v>
      </c>
      <c r="E23" s="314">
        <v>1225.8590841327898</v>
      </c>
      <c r="F23" s="315">
        <v>1151.8645</v>
      </c>
      <c r="G23" s="315">
        <f t="shared" si="0"/>
        <v>99.37576611921213</v>
      </c>
      <c r="H23" s="317"/>
      <c r="I23" s="317"/>
      <c r="J23" s="27"/>
      <c r="K23" s="27"/>
      <c r="L23" s="19"/>
      <c r="M23" s="308"/>
      <c r="N23" s="308"/>
      <c r="O23" s="308"/>
      <c r="P23" s="308"/>
      <c r="Q23" s="308"/>
      <c r="R23" s="308"/>
      <c r="S23" s="14"/>
      <c r="T23" s="308"/>
    </row>
    <row r="24" spans="1:20" ht="12.75">
      <c r="A24" s="581">
        <v>13</v>
      </c>
      <c r="B24" s="586" t="s">
        <v>742</v>
      </c>
      <c r="C24" s="312">
        <f>'AT5_PLAN_vs_PRFM'!D24*'AT5_PLAN_vs_PRFM'!E24*100/1000000+'AT5C_Drought_PLAN_vs_PRFM '!D24*'AT5C_Drought_PLAN_vs_PRFM '!E24*100/1000000</f>
        <v>1413.1188000000002</v>
      </c>
      <c r="D24" s="272">
        <v>25.87322352162959</v>
      </c>
      <c r="E24" s="314">
        <v>1303.6122488000856</v>
      </c>
      <c r="F24" s="315">
        <v>1228.1832</v>
      </c>
      <c r="G24" s="315">
        <f t="shared" si="0"/>
        <v>101.30227232171524</v>
      </c>
      <c r="H24" s="317"/>
      <c r="I24" s="317"/>
      <c r="J24" s="27"/>
      <c r="K24" s="27"/>
      <c r="L24" s="19"/>
      <c r="M24" s="308"/>
      <c r="N24" s="308"/>
      <c r="O24" s="308"/>
      <c r="P24" s="308"/>
      <c r="Q24" s="308"/>
      <c r="R24" s="308"/>
      <c r="S24" s="14"/>
      <c r="T24" s="308"/>
    </row>
    <row r="25" spans="1:20" ht="12.75">
      <c r="A25" s="581">
        <v>14</v>
      </c>
      <c r="B25" s="586" t="s">
        <v>740</v>
      </c>
      <c r="C25" s="312">
        <f>'AT5_PLAN_vs_PRFM'!D25*'AT5_PLAN_vs_PRFM'!E25*100/1000000+'AT5C_Drought_PLAN_vs_PRFM '!D25*'AT5C_Drought_PLAN_vs_PRFM '!E25*100/1000000</f>
        <v>1587.6424</v>
      </c>
      <c r="D25" s="272">
        <v>4</v>
      </c>
      <c r="E25" s="314">
        <v>1565.811061044044</v>
      </c>
      <c r="F25" s="315">
        <v>1461.01</v>
      </c>
      <c r="G25" s="315">
        <f t="shared" si="0"/>
        <v>108.80106104404399</v>
      </c>
      <c r="H25" s="317"/>
      <c r="I25" s="317"/>
      <c r="J25" s="27"/>
      <c r="K25" s="27"/>
      <c r="L25" s="19"/>
      <c r="M25" s="308"/>
      <c r="N25" s="308"/>
      <c r="O25" s="308"/>
      <c r="P25" s="308"/>
      <c r="Q25" s="308"/>
      <c r="R25" s="308"/>
      <c r="S25" s="14"/>
      <c r="T25" s="308"/>
    </row>
    <row r="26" spans="1:20" ht="12.75">
      <c r="A26" s="581">
        <v>15</v>
      </c>
      <c r="B26" s="586" t="s">
        <v>734</v>
      </c>
      <c r="C26" s="312">
        <f>'AT5_PLAN_vs_PRFM'!D26*'AT5_PLAN_vs_PRFM'!E26*100/1000000+'AT5C_Drought_PLAN_vs_PRFM '!D26*'AT5C_Drought_PLAN_vs_PRFM '!E26*100/1000000</f>
        <v>1235.6884</v>
      </c>
      <c r="D26" s="272">
        <v>22.85751945014597</v>
      </c>
      <c r="E26" s="314">
        <v>1111.6780687814733</v>
      </c>
      <c r="F26" s="315">
        <v>1045.0408</v>
      </c>
      <c r="G26" s="315">
        <f t="shared" si="0"/>
        <v>89.49478823161917</v>
      </c>
      <c r="H26" s="317"/>
      <c r="I26" s="317"/>
      <c r="J26" s="27"/>
      <c r="K26" s="27"/>
      <c r="L26" s="19"/>
      <c r="M26" s="308"/>
      <c r="N26" s="308"/>
      <c r="O26" s="308"/>
      <c r="P26" s="308"/>
      <c r="Q26" s="308"/>
      <c r="R26" s="308"/>
      <c r="S26" s="14"/>
      <c r="T26" s="308"/>
    </row>
    <row r="27" spans="1:20" ht="12.75">
      <c r="A27" s="581">
        <v>16</v>
      </c>
      <c r="B27" s="586" t="s">
        <v>741</v>
      </c>
      <c r="C27" s="312">
        <f>'AT5_PLAN_vs_PRFM'!D27*'AT5_PLAN_vs_PRFM'!E27*100/1000000+'AT5C_Drought_PLAN_vs_PRFM '!D27*'AT5C_Drought_PLAN_vs_PRFM '!E27*100/1000000</f>
        <v>2534.2264</v>
      </c>
      <c r="D27" s="272">
        <v>4</v>
      </c>
      <c r="E27" s="314">
        <v>2577.0408212972243</v>
      </c>
      <c r="F27" s="315">
        <v>2410.3514</v>
      </c>
      <c r="G27" s="315">
        <f t="shared" si="0"/>
        <v>170.68942129722427</v>
      </c>
      <c r="H27" s="317"/>
      <c r="I27" s="317"/>
      <c r="J27" s="27"/>
      <c r="K27" s="27"/>
      <c r="L27" s="19"/>
      <c r="M27" s="308"/>
      <c r="N27" s="308"/>
      <c r="O27" s="308"/>
      <c r="P27" s="308"/>
      <c r="Q27" s="308"/>
      <c r="R27" s="308"/>
      <c r="S27" s="14"/>
      <c r="T27" s="308"/>
    </row>
    <row r="28" spans="1:20" ht="12.75">
      <c r="A28" s="581">
        <v>17</v>
      </c>
      <c r="B28" s="586" t="s">
        <v>733</v>
      </c>
      <c r="C28" s="312">
        <f>'AT5_PLAN_vs_PRFM'!D28*'AT5_PLAN_vs_PRFM'!E28*100/1000000+'AT5C_Drought_PLAN_vs_PRFM '!D28*'AT5C_Drought_PLAN_vs_PRFM '!E28*100/1000000</f>
        <v>1065.984</v>
      </c>
      <c r="D28" s="272">
        <v>19.71836104761071</v>
      </c>
      <c r="E28" s="314">
        <v>948.8730783422018</v>
      </c>
      <c r="F28" s="315">
        <v>891.3875</v>
      </c>
      <c r="G28" s="315">
        <f t="shared" si="0"/>
        <v>77.20393938981249</v>
      </c>
      <c r="H28" s="317"/>
      <c r="I28" s="317"/>
      <c r="J28" s="27"/>
      <c r="K28" s="27"/>
      <c r="L28" s="19"/>
      <c r="M28" s="308"/>
      <c r="N28" s="308"/>
      <c r="O28" s="308"/>
      <c r="P28" s="308"/>
      <c r="Q28" s="308"/>
      <c r="R28" s="308"/>
      <c r="S28" s="14"/>
      <c r="T28" s="308"/>
    </row>
    <row r="29" spans="1:20" ht="12.75">
      <c r="A29" s="581">
        <v>18</v>
      </c>
      <c r="B29" s="586" t="s">
        <v>735</v>
      </c>
      <c r="C29" s="312">
        <f>'AT5_PLAN_vs_PRFM'!D29*'AT5_PLAN_vs_PRFM'!E29*100/1000000+'AT5C_Drought_PLAN_vs_PRFM '!D29*'AT5C_Drought_PLAN_vs_PRFM '!E29*100/1000000</f>
        <v>2238.1578</v>
      </c>
      <c r="D29" s="272">
        <v>3</v>
      </c>
      <c r="E29" s="314">
        <v>2127.527010556523</v>
      </c>
      <c r="F29" s="315">
        <v>1991.332</v>
      </c>
      <c r="G29" s="315">
        <f t="shared" si="0"/>
        <v>139.19501055652267</v>
      </c>
      <c r="H29" s="317"/>
      <c r="I29" s="317"/>
      <c r="J29" s="27"/>
      <c r="K29" s="27"/>
      <c r="L29" s="19"/>
      <c r="M29" s="308"/>
      <c r="N29" s="308"/>
      <c r="O29" s="308"/>
      <c r="P29" s="308"/>
      <c r="Q29" s="308"/>
      <c r="R29" s="308"/>
      <c r="S29" s="14"/>
      <c r="T29" s="308"/>
    </row>
    <row r="30" spans="1:20" ht="12.75">
      <c r="A30" s="581">
        <v>19</v>
      </c>
      <c r="B30" s="586" t="s">
        <v>732</v>
      </c>
      <c r="C30" s="312">
        <f>'AT5_PLAN_vs_PRFM'!D30*'AT5_PLAN_vs_PRFM'!E30*100/1000000+'AT5C_Drought_PLAN_vs_PRFM '!D30*'AT5C_Drought_PLAN_vs_PRFM '!E30*100/1000000</f>
        <v>1670.0610000000001</v>
      </c>
      <c r="D30" s="272">
        <v>30.89245783195038</v>
      </c>
      <c r="E30" s="314">
        <v>1526.4272855912993</v>
      </c>
      <c r="F30" s="315">
        <v>1436.3654999999999</v>
      </c>
      <c r="G30" s="315">
        <f t="shared" si="0"/>
        <v>120.95424342324986</v>
      </c>
      <c r="H30" s="317"/>
      <c r="I30" s="317"/>
      <c r="J30" s="27"/>
      <c r="K30" s="27"/>
      <c r="L30" s="19"/>
      <c r="M30" s="308"/>
      <c r="N30" s="308"/>
      <c r="O30" s="308"/>
      <c r="P30" s="308"/>
      <c r="Q30" s="308"/>
      <c r="R30" s="308"/>
      <c r="S30" s="14"/>
      <c r="T30" s="308"/>
    </row>
    <row r="31" spans="1:20" ht="12.75">
      <c r="A31" s="581">
        <v>20</v>
      </c>
      <c r="B31" s="586" t="s">
        <v>836</v>
      </c>
      <c r="C31" s="312">
        <f>'AT5_PLAN_vs_PRFM'!D31*'AT5_PLAN_vs_PRFM'!E31*100/1000000+'AT5C_Drought_PLAN_vs_PRFM '!D31*'AT5C_Drought_PLAN_vs_PRFM '!E31*100/1000000</f>
        <v>1647.432</v>
      </c>
      <c r="D31" s="272">
        <v>29.58597656916248</v>
      </c>
      <c r="E31" s="314">
        <v>1464.8384583361703</v>
      </c>
      <c r="F31" s="315">
        <v>1378.5855</v>
      </c>
      <c r="G31" s="315">
        <f t="shared" si="0"/>
        <v>115.83893490533296</v>
      </c>
      <c r="H31" s="317"/>
      <c r="I31" s="317"/>
      <c r="J31" s="27"/>
      <c r="K31" s="27"/>
      <c r="L31" s="19"/>
      <c r="M31" s="308"/>
      <c r="N31" s="308"/>
      <c r="O31" s="308"/>
      <c r="P31" s="308"/>
      <c r="Q31" s="308"/>
      <c r="R31" s="308"/>
      <c r="S31" s="14"/>
      <c r="T31" s="308"/>
    </row>
    <row r="32" spans="1:20" ht="12.75">
      <c r="A32" s="581">
        <v>21</v>
      </c>
      <c r="B32" s="586" t="s">
        <v>729</v>
      </c>
      <c r="C32" s="312">
        <f>'AT5_PLAN_vs_PRFM'!D32*'AT5_PLAN_vs_PRFM'!E32*100/1000000+'AT5C_Drought_PLAN_vs_PRFM '!D32*'AT5C_Drought_PLAN_vs_PRFM '!E32*100/1000000</f>
        <v>2004.5025999999998</v>
      </c>
      <c r="D32" s="272">
        <v>37.07889235455165</v>
      </c>
      <c r="E32" s="314">
        <v>1780.88919906776</v>
      </c>
      <c r="F32" s="315">
        <v>1672.7919000000002</v>
      </c>
      <c r="G32" s="315">
        <f t="shared" si="0"/>
        <v>145.1761914223116</v>
      </c>
      <c r="H32" s="317"/>
      <c r="I32" s="317"/>
      <c r="J32" s="27"/>
      <c r="K32" s="27"/>
      <c r="L32" s="19"/>
      <c r="M32" s="308"/>
      <c r="N32" s="308"/>
      <c r="O32" s="308"/>
      <c r="P32" s="308"/>
      <c r="Q32" s="308"/>
      <c r="R32" s="308"/>
      <c r="S32" s="14"/>
      <c r="T32" s="308"/>
    </row>
    <row r="33" spans="1:20" ht="12.75">
      <c r="A33" s="581">
        <v>22</v>
      </c>
      <c r="B33" s="586" t="s">
        <v>746</v>
      </c>
      <c r="C33" s="312">
        <f>'AT5_PLAN_vs_PRFM'!D33*'AT5_PLAN_vs_PRFM'!E33*100/1000000+'AT5C_Drought_PLAN_vs_PRFM '!D33*'AT5C_Drought_PLAN_vs_PRFM '!E33*100/1000000</f>
        <v>2090.1446</v>
      </c>
      <c r="D33" s="272">
        <v>38.663081119898486</v>
      </c>
      <c r="E33" s="314">
        <v>1877.409736024021</v>
      </c>
      <c r="F33" s="315">
        <v>1764.694</v>
      </c>
      <c r="G33" s="315">
        <f t="shared" si="0"/>
        <v>151.37881714391938</v>
      </c>
      <c r="H33" s="317"/>
      <c r="I33" s="317"/>
      <c r="J33" s="27"/>
      <c r="K33" s="27"/>
      <c r="L33" s="19"/>
      <c r="M33" s="308"/>
      <c r="N33" s="308"/>
      <c r="O33" s="308"/>
      <c r="P33" s="308"/>
      <c r="Q33" s="308"/>
      <c r="R33" s="308"/>
      <c r="S33" s="14"/>
      <c r="T33" s="308"/>
    </row>
    <row r="34" spans="1:20" ht="12.75">
      <c r="A34" s="581">
        <v>23</v>
      </c>
      <c r="B34" s="586" t="s">
        <v>738</v>
      </c>
      <c r="C34" s="312">
        <f>'AT5_PLAN_vs_PRFM'!D34*'AT5_PLAN_vs_PRFM'!E34*100/1000000+'AT5C_Drought_PLAN_vs_PRFM '!D34*'AT5C_Drought_PLAN_vs_PRFM '!E34*100/1000000</f>
        <v>1207.1924</v>
      </c>
      <c r="D34" s="272">
        <v>14</v>
      </c>
      <c r="E34" s="314">
        <v>1246.117927580359</v>
      </c>
      <c r="F34" s="315">
        <v>1172.6142</v>
      </c>
      <c r="G34" s="315">
        <f t="shared" si="0"/>
        <v>87.50372758035905</v>
      </c>
      <c r="H34" s="317"/>
      <c r="I34" s="317"/>
      <c r="J34" s="27"/>
      <c r="K34" s="27"/>
      <c r="L34" s="19"/>
      <c r="M34" s="308"/>
      <c r="N34" s="308"/>
      <c r="O34" s="308"/>
      <c r="P34" s="308"/>
      <c r="Q34" s="308"/>
      <c r="R34" s="308"/>
      <c r="S34" s="14"/>
      <c r="T34" s="308"/>
    </row>
    <row r="35" spans="1:20" ht="12.75">
      <c r="A35" s="581">
        <v>24</v>
      </c>
      <c r="B35" s="586" t="s">
        <v>730</v>
      </c>
      <c r="C35" s="312">
        <f>'AT5_PLAN_vs_PRFM'!D35*'AT5_PLAN_vs_PRFM'!E35*100/1000000+'AT5C_Drought_PLAN_vs_PRFM '!D35*'AT5C_Drought_PLAN_vs_PRFM '!E35*100/1000000</f>
        <v>1561.0912</v>
      </c>
      <c r="D35" s="272">
        <v>28.65478241444199</v>
      </c>
      <c r="E35" s="314">
        <v>1389.5350177751407</v>
      </c>
      <c r="F35" s="315">
        <v>1305.9968000000001</v>
      </c>
      <c r="G35" s="315">
        <f t="shared" si="0"/>
        <v>112.19300018958256</v>
      </c>
      <c r="H35" s="317"/>
      <c r="I35" s="317"/>
      <c r="J35" s="27"/>
      <c r="K35" s="27"/>
      <c r="L35" s="19"/>
      <c r="M35" s="308"/>
      <c r="N35" s="308"/>
      <c r="O35" s="308"/>
      <c r="P35" s="308"/>
      <c r="Q35" s="308"/>
      <c r="R35" s="308"/>
      <c r="S35" s="14"/>
      <c r="T35" s="308"/>
    </row>
    <row r="36" spans="1:20" ht="12.75">
      <c r="A36" s="581">
        <v>25</v>
      </c>
      <c r="B36" s="586" t="s">
        <v>736</v>
      </c>
      <c r="C36" s="312">
        <f>'AT5_PLAN_vs_PRFM'!D36*'AT5_PLAN_vs_PRFM'!E36*100/1000000+'AT5C_Drought_PLAN_vs_PRFM '!D36*'AT5C_Drought_PLAN_vs_PRFM '!E36*100/1000000</f>
        <v>680.7116</v>
      </c>
      <c r="D36" s="272">
        <v>12.591668447271967</v>
      </c>
      <c r="E36" s="314">
        <v>675.6463999555767</v>
      </c>
      <c r="F36" s="315">
        <v>638.9375</v>
      </c>
      <c r="G36" s="315">
        <f t="shared" si="0"/>
        <v>49.30056840284874</v>
      </c>
      <c r="H36" s="317"/>
      <c r="I36" s="317"/>
      <c r="J36" s="27"/>
      <c r="K36" s="27"/>
      <c r="L36" s="19"/>
      <c r="M36" s="308"/>
      <c r="N36" s="308"/>
      <c r="O36" s="308"/>
      <c r="P36" s="308"/>
      <c r="Q36" s="308"/>
      <c r="R36" s="308"/>
      <c r="S36" s="14"/>
      <c r="T36" s="308"/>
    </row>
    <row r="37" spans="1:20" ht="12.75">
      <c r="A37" s="581">
        <v>26</v>
      </c>
      <c r="B37" s="586" t="s">
        <v>744</v>
      </c>
      <c r="C37" s="312">
        <f>'AT5_PLAN_vs_PRFM'!D37*'AT5_PLAN_vs_PRFM'!E37*100/1000000+'AT5C_Drought_PLAN_vs_PRFM '!D37*'AT5C_Drought_PLAN_vs_PRFM '!E37*100/1000000</f>
        <v>860.049</v>
      </c>
      <c r="D37" s="272">
        <v>15.021121677577927</v>
      </c>
      <c r="E37" s="314">
        <v>677.4506638576249</v>
      </c>
      <c r="F37" s="315">
        <v>633.6591</v>
      </c>
      <c r="G37" s="315">
        <f t="shared" si="0"/>
        <v>58.812685535202945</v>
      </c>
      <c r="H37" s="317"/>
      <c r="I37" s="317"/>
      <c r="J37" s="27"/>
      <c r="K37" s="27"/>
      <c r="L37" s="19"/>
      <c r="M37" s="308"/>
      <c r="N37" s="308"/>
      <c r="O37" s="308"/>
      <c r="P37" s="308"/>
      <c r="Q37" s="308"/>
      <c r="R37" s="308"/>
      <c r="S37" s="14"/>
      <c r="T37" s="308"/>
    </row>
    <row r="38" spans="1:20" ht="12.75">
      <c r="A38" s="581">
        <v>27</v>
      </c>
      <c r="B38" s="586" t="s">
        <v>745</v>
      </c>
      <c r="C38" s="312">
        <f>'AT5_PLAN_vs_PRFM'!D38*'AT5_PLAN_vs_PRFM'!E38*100/1000000+'AT5C_Drought_PLAN_vs_PRFM '!D38*'AT5C_Drought_PLAN_vs_PRFM '!E38*100/1000000</f>
        <v>1705.9569999999999</v>
      </c>
      <c r="D38" s="272">
        <v>31.556454935251203</v>
      </c>
      <c r="E38" s="314">
        <v>1484.918957910745</v>
      </c>
      <c r="F38" s="315">
        <v>1392.9214</v>
      </c>
      <c r="G38" s="315">
        <f t="shared" si="0"/>
        <v>123.55401284599611</v>
      </c>
      <c r="H38" s="317"/>
      <c r="I38" s="317"/>
      <c r="J38" s="27"/>
      <c r="K38" s="27"/>
      <c r="L38" s="19"/>
      <c r="M38" s="308"/>
      <c r="N38" s="308"/>
      <c r="O38" s="308"/>
      <c r="P38" s="308"/>
      <c r="Q38" s="308"/>
      <c r="R38" s="308"/>
      <c r="S38" s="14"/>
      <c r="T38" s="308"/>
    </row>
    <row r="39" spans="1:16" ht="12.75">
      <c r="A39" s="3" t="s">
        <v>19</v>
      </c>
      <c r="B39" s="19"/>
      <c r="C39" s="651">
        <f>SUM(C12:C38)</f>
        <v>44879.83200000001</v>
      </c>
      <c r="D39" s="651">
        <f>SUM(D12:D38)</f>
        <v>715.6452774421714</v>
      </c>
      <c r="E39" s="651">
        <f>SUM(E12:E38)</f>
        <v>40011.025427432825</v>
      </c>
      <c r="F39" s="651">
        <f>SUM(F12:F38)</f>
        <v>37516.37559999999</v>
      </c>
      <c r="G39" s="651">
        <f>SUM(G12:G38)</f>
        <v>3210.295104874992</v>
      </c>
      <c r="H39" s="27"/>
      <c r="I39" s="27"/>
      <c r="J39" s="27"/>
      <c r="K39" s="27"/>
      <c r="L39" s="19"/>
      <c r="M39" s="370"/>
      <c r="N39" s="370"/>
      <c r="O39" s="370"/>
      <c r="P39" s="370"/>
    </row>
    <row r="40" spans="1:12" ht="12.75">
      <c r="A40" s="21" t="s">
        <v>941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12.75">
      <c r="A41" s="20" t="s">
        <v>362</v>
      </c>
      <c r="B41" s="21"/>
      <c r="C41" s="21"/>
      <c r="D41" s="21"/>
      <c r="E41" s="21"/>
      <c r="F41" s="21"/>
      <c r="G41" s="21"/>
      <c r="H41" s="21"/>
      <c r="I41" s="21"/>
      <c r="J41" s="21"/>
      <c r="L41" s="21"/>
    </row>
    <row r="42" spans="1:12" ht="15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L42" s="14"/>
    </row>
    <row r="43" spans="1:12" ht="18" customHeight="1">
      <c r="A43" s="83"/>
      <c r="C43" s="83"/>
      <c r="D43" s="83"/>
      <c r="H43" s="83"/>
      <c r="I43" s="83"/>
      <c r="J43" s="83"/>
      <c r="K43" s="83"/>
      <c r="L43" s="83"/>
    </row>
    <row r="44" spans="1:12" ht="12.75" customHeight="1">
      <c r="A44" s="83"/>
      <c r="B44" s="83"/>
      <c r="C44" s="83"/>
      <c r="D44" s="83"/>
      <c r="E44" s="83"/>
      <c r="F44" s="83"/>
      <c r="G44" s="14"/>
      <c r="H44" s="14"/>
      <c r="I44" s="881" t="s">
        <v>13</v>
      </c>
      <c r="J44" s="881"/>
      <c r="K44" s="83"/>
      <c r="L44" s="14"/>
    </row>
    <row r="45" spans="1:12" ht="12.75" customHeight="1">
      <c r="A45" s="83"/>
      <c r="B45" s="83"/>
      <c r="C45" s="83"/>
      <c r="D45" s="83"/>
      <c r="E45" s="83"/>
      <c r="F45" s="83"/>
      <c r="G45" s="83"/>
      <c r="H45" s="881" t="s">
        <v>14</v>
      </c>
      <c r="I45" s="881"/>
      <c r="J45" s="881"/>
      <c r="K45" s="881"/>
      <c r="L45" s="83"/>
    </row>
    <row r="46" spans="1:12" ht="12.75">
      <c r="A46" s="14" t="s">
        <v>22</v>
      </c>
      <c r="B46" s="14"/>
      <c r="C46" s="14"/>
      <c r="D46" s="14"/>
      <c r="E46" s="14"/>
      <c r="F46" s="14"/>
      <c r="G46" s="881" t="s">
        <v>637</v>
      </c>
      <c r="H46" s="881"/>
      <c r="I46" s="881"/>
      <c r="J46" s="881"/>
      <c r="K46" s="881"/>
      <c r="L46" s="881"/>
    </row>
    <row r="47" spans="1:12" ht="12.75">
      <c r="A47" s="14"/>
      <c r="G47" s="14"/>
      <c r="H47" s="14"/>
      <c r="I47" s="1" t="s">
        <v>84</v>
      </c>
      <c r="J47" s="1"/>
      <c r="K47" s="1"/>
      <c r="L47" s="1"/>
    </row>
    <row r="48" spans="1:12" ht="12.75">
      <c r="A48" s="970"/>
      <c r="B48" s="970"/>
      <c r="C48" s="970"/>
      <c r="D48" s="970"/>
      <c r="E48" s="970"/>
      <c r="F48" s="970"/>
      <c r="G48" s="970"/>
      <c r="H48" s="970"/>
      <c r="I48" s="970"/>
      <c r="J48" s="970"/>
      <c r="K48" s="970"/>
      <c r="L48" s="970"/>
    </row>
  </sheetData>
  <sheetProtection/>
  <mergeCells count="14">
    <mergeCell ref="A3:L3"/>
    <mergeCell ref="A2:L2"/>
    <mergeCell ref="A5:L5"/>
    <mergeCell ref="A7:B7"/>
    <mergeCell ref="A48:L48"/>
    <mergeCell ref="F7:L7"/>
    <mergeCell ref="A9:A10"/>
    <mergeCell ref="B9:B10"/>
    <mergeCell ref="C9:G9"/>
    <mergeCell ref="H9:L9"/>
    <mergeCell ref="I8:L8"/>
    <mergeCell ref="I44:J44"/>
    <mergeCell ref="H45:K45"/>
    <mergeCell ref="G46:L46"/>
  </mergeCells>
  <printOptions horizontalCentered="1"/>
  <pageMargins left="0.7086614173228347" right="0.7086614173228347" top="0.6299212598425197" bottom="0" header="0.59" footer="0.17"/>
  <pageSetup fitToHeight="1" fitToWidth="1" horizontalDpi="600" verticalDpi="600" orientation="landscape" paperSize="9" scale="77" r:id="rId2"/>
  <rowBreaks count="1" manualBreakCount="1">
    <brk id="47" max="255" man="1"/>
  </rowBreaks>
  <ignoredErrors>
    <ignoredError sqref="E3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D69"/>
  <sheetViews>
    <sheetView view="pageBreakPreview" zoomScaleSheetLayoutView="100" zoomScalePageLayoutView="0" workbookViewId="0" topLeftCell="A1">
      <selection activeCell="B1" sqref="B1:E68"/>
    </sheetView>
  </sheetViews>
  <sheetFormatPr defaultColWidth="9.140625" defaultRowHeight="12.75"/>
  <cols>
    <col min="2" max="2" width="8.7109375" style="0" customWidth="1"/>
    <col min="3" max="3" width="11.00390625" style="259" customWidth="1"/>
    <col min="4" max="4" width="114.57421875" style="0" customWidth="1"/>
  </cols>
  <sheetData>
    <row r="1" spans="1:8" ht="21.75" customHeight="1">
      <c r="A1" s="12"/>
      <c r="B1" s="855" t="s">
        <v>487</v>
      </c>
      <c r="C1" s="855"/>
      <c r="D1" s="855"/>
      <c r="E1" s="855"/>
      <c r="F1" s="253"/>
      <c r="G1" s="253"/>
      <c r="H1" s="253"/>
    </row>
    <row r="2" spans="1:4" ht="12.75">
      <c r="A2" s="11"/>
      <c r="B2" s="3" t="s">
        <v>74</v>
      </c>
      <c r="C2" s="3" t="s">
        <v>509</v>
      </c>
      <c r="D2" s="3" t="s">
        <v>510</v>
      </c>
    </row>
    <row r="3" spans="1:4" ht="12.75">
      <c r="A3" s="607"/>
      <c r="B3" s="8">
        <v>1</v>
      </c>
      <c r="C3" s="552" t="s">
        <v>511</v>
      </c>
      <c r="D3" s="552" t="s">
        <v>861</v>
      </c>
    </row>
    <row r="4" spans="1:4" ht="12.75">
      <c r="A4" s="607"/>
      <c r="B4" s="8">
        <v>2</v>
      </c>
      <c r="C4" s="552" t="s">
        <v>512</v>
      </c>
      <c r="D4" s="552" t="s">
        <v>862</v>
      </c>
    </row>
    <row r="5" spans="1:4" ht="12.75">
      <c r="A5" s="607"/>
      <c r="B5" s="8">
        <v>3</v>
      </c>
      <c r="C5" s="552" t="s">
        <v>713</v>
      </c>
      <c r="D5" s="552" t="s">
        <v>1029</v>
      </c>
    </row>
    <row r="6" spans="1:4" ht="12.75">
      <c r="A6" s="607"/>
      <c r="B6" s="8">
        <v>4</v>
      </c>
      <c r="C6" s="552" t="s">
        <v>513</v>
      </c>
      <c r="D6" s="552" t="s">
        <v>863</v>
      </c>
    </row>
    <row r="7" spans="1:4" ht="12.75">
      <c r="A7" s="607"/>
      <c r="B7" s="8">
        <v>5</v>
      </c>
      <c r="C7" s="552" t="s">
        <v>542</v>
      </c>
      <c r="D7" s="552" t="s">
        <v>864</v>
      </c>
    </row>
    <row r="8" spans="1:4" ht="12.75">
      <c r="A8" s="607"/>
      <c r="B8" s="8">
        <v>6</v>
      </c>
      <c r="C8" s="552" t="s">
        <v>543</v>
      </c>
      <c r="D8" s="552" t="s">
        <v>865</v>
      </c>
    </row>
    <row r="9" spans="1:4" ht="12.75">
      <c r="A9" s="607"/>
      <c r="B9" s="8">
        <v>7</v>
      </c>
      <c r="C9" s="552" t="s">
        <v>544</v>
      </c>
      <c r="D9" s="552" t="s">
        <v>866</v>
      </c>
    </row>
    <row r="10" spans="1:4" ht="12.75">
      <c r="A10" s="607"/>
      <c r="B10" s="8">
        <v>8</v>
      </c>
      <c r="C10" s="552" t="s">
        <v>514</v>
      </c>
      <c r="D10" s="552" t="s">
        <v>867</v>
      </c>
    </row>
    <row r="11" spans="1:30" ht="12.75">
      <c r="A11" s="607"/>
      <c r="B11" s="8">
        <v>9</v>
      </c>
      <c r="C11" s="552" t="s">
        <v>545</v>
      </c>
      <c r="D11" s="552" t="s">
        <v>1030</v>
      </c>
      <c r="L11">
        <f>SUM(H11:K11)</f>
        <v>0</v>
      </c>
      <c r="AD11" t="e">
        <f>ROUND(L11/G11*100,2)</f>
        <v>#DIV/0!</v>
      </c>
    </row>
    <row r="12" spans="1:30" ht="12.75">
      <c r="A12" s="607"/>
      <c r="B12" s="8">
        <v>10</v>
      </c>
      <c r="C12" s="552" t="s">
        <v>810</v>
      </c>
      <c r="D12" s="552" t="s">
        <v>811</v>
      </c>
      <c r="AD12" t="e">
        <f aca="true" t="shared" si="0" ref="AD12:AD38">ROUND(L12/G12*100,2)</f>
        <v>#DIV/0!</v>
      </c>
    </row>
    <row r="13" spans="1:30" ht="12.75">
      <c r="A13" s="607"/>
      <c r="B13" s="8">
        <v>11</v>
      </c>
      <c r="C13" s="552" t="s">
        <v>515</v>
      </c>
      <c r="D13" s="552" t="s">
        <v>868</v>
      </c>
      <c r="AD13" t="e">
        <f t="shared" si="0"/>
        <v>#DIV/0!</v>
      </c>
    </row>
    <row r="14" spans="1:30" ht="12.75">
      <c r="A14" s="607"/>
      <c r="B14" s="8">
        <v>12</v>
      </c>
      <c r="C14" s="552" t="s">
        <v>546</v>
      </c>
      <c r="D14" s="552" t="s">
        <v>869</v>
      </c>
      <c r="AD14" t="e">
        <f t="shared" si="0"/>
        <v>#DIV/0!</v>
      </c>
    </row>
    <row r="15" spans="1:30" ht="12.75">
      <c r="A15" s="607"/>
      <c r="B15" s="8">
        <v>13</v>
      </c>
      <c r="C15" s="552" t="s">
        <v>547</v>
      </c>
      <c r="D15" s="552" t="s">
        <v>870</v>
      </c>
      <c r="AD15" t="e">
        <f t="shared" si="0"/>
        <v>#DIV/0!</v>
      </c>
    </row>
    <row r="16" spans="1:30" ht="12.75">
      <c r="A16" s="607"/>
      <c r="B16" s="8">
        <v>14</v>
      </c>
      <c r="C16" s="552" t="s">
        <v>548</v>
      </c>
      <c r="D16" s="552" t="s">
        <v>871</v>
      </c>
      <c r="AD16" t="e">
        <f t="shared" si="0"/>
        <v>#DIV/0!</v>
      </c>
    </row>
    <row r="17" spans="1:30" ht="12.75">
      <c r="A17" s="607"/>
      <c r="B17" s="8">
        <v>15</v>
      </c>
      <c r="C17" s="552" t="s">
        <v>551</v>
      </c>
      <c r="D17" s="552" t="s">
        <v>872</v>
      </c>
      <c r="AD17" t="e">
        <f t="shared" si="0"/>
        <v>#DIV/0!</v>
      </c>
    </row>
    <row r="18" spans="1:30" ht="12.75">
      <c r="A18" s="607"/>
      <c r="B18" s="8">
        <v>16</v>
      </c>
      <c r="C18" s="552" t="s">
        <v>516</v>
      </c>
      <c r="D18" s="552" t="s">
        <v>873</v>
      </c>
      <c r="L18">
        <f>SUM(H18:K18)</f>
        <v>0</v>
      </c>
      <c r="AD18" t="e">
        <f t="shared" si="0"/>
        <v>#DIV/0!</v>
      </c>
    </row>
    <row r="19" spans="1:30" ht="12.75">
      <c r="A19" s="607"/>
      <c r="B19" s="8">
        <v>17</v>
      </c>
      <c r="C19" s="552" t="s">
        <v>549</v>
      </c>
      <c r="D19" s="552" t="s">
        <v>874</v>
      </c>
      <c r="AD19" t="e">
        <f t="shared" si="0"/>
        <v>#DIV/0!</v>
      </c>
    </row>
    <row r="20" spans="1:30" ht="12.75">
      <c r="A20" s="607"/>
      <c r="B20" s="8">
        <v>18</v>
      </c>
      <c r="C20" s="552" t="s">
        <v>550</v>
      </c>
      <c r="D20" s="552" t="s">
        <v>875</v>
      </c>
      <c r="AD20" t="e">
        <f t="shared" si="0"/>
        <v>#DIV/0!</v>
      </c>
    </row>
    <row r="21" spans="1:30" ht="12.75">
      <c r="A21" s="607"/>
      <c r="B21" s="8">
        <v>19</v>
      </c>
      <c r="C21" s="552" t="s">
        <v>552</v>
      </c>
      <c r="D21" s="552" t="s">
        <v>876</v>
      </c>
      <c r="AD21" t="e">
        <f t="shared" si="0"/>
        <v>#DIV/0!</v>
      </c>
    </row>
    <row r="22" spans="1:30" ht="12.75">
      <c r="A22" s="607"/>
      <c r="B22" s="8">
        <v>20</v>
      </c>
      <c r="C22" s="552" t="s">
        <v>517</v>
      </c>
      <c r="D22" s="552" t="s">
        <v>877</v>
      </c>
      <c r="AD22" t="e">
        <f t="shared" si="0"/>
        <v>#DIV/0!</v>
      </c>
    </row>
    <row r="23" spans="1:30" ht="12.75">
      <c r="A23" s="607"/>
      <c r="B23" s="8">
        <v>21</v>
      </c>
      <c r="C23" s="552" t="s">
        <v>553</v>
      </c>
      <c r="D23" s="552" t="s">
        <v>1031</v>
      </c>
      <c r="AD23" t="e">
        <f t="shared" si="0"/>
        <v>#DIV/0!</v>
      </c>
    </row>
    <row r="24" spans="1:30" ht="12.75">
      <c r="A24" s="607"/>
      <c r="B24" s="8">
        <v>22</v>
      </c>
      <c r="C24" s="552" t="s">
        <v>518</v>
      </c>
      <c r="D24" s="552" t="s">
        <v>1032</v>
      </c>
      <c r="AD24" t="e">
        <f t="shared" si="0"/>
        <v>#DIV/0!</v>
      </c>
    </row>
    <row r="25" spans="1:30" ht="12.75">
      <c r="A25" s="607"/>
      <c r="B25" s="8">
        <v>23</v>
      </c>
      <c r="C25" s="552" t="s">
        <v>554</v>
      </c>
      <c r="D25" s="552" t="s">
        <v>1033</v>
      </c>
      <c r="AD25" t="e">
        <f t="shared" si="0"/>
        <v>#DIV/0!</v>
      </c>
    </row>
    <row r="26" spans="1:30" ht="12.75">
      <c r="A26" s="607"/>
      <c r="B26" s="8">
        <v>24</v>
      </c>
      <c r="C26" s="552" t="s">
        <v>519</v>
      </c>
      <c r="D26" s="552" t="s">
        <v>878</v>
      </c>
      <c r="AD26" t="e">
        <f t="shared" si="0"/>
        <v>#DIV/0!</v>
      </c>
    </row>
    <row r="27" spans="1:30" ht="12.75">
      <c r="A27" s="607"/>
      <c r="B27" s="8">
        <v>25</v>
      </c>
      <c r="C27" s="552" t="s">
        <v>520</v>
      </c>
      <c r="D27" s="552" t="s">
        <v>879</v>
      </c>
      <c r="AD27" t="e">
        <f t="shared" si="0"/>
        <v>#DIV/0!</v>
      </c>
    </row>
    <row r="28" spans="1:30" ht="12.75">
      <c r="A28" s="607"/>
      <c r="B28" s="8">
        <v>26</v>
      </c>
      <c r="C28" s="552" t="s">
        <v>579</v>
      </c>
      <c r="D28" s="552" t="s">
        <v>880</v>
      </c>
      <c r="AD28" t="e">
        <f t="shared" si="0"/>
        <v>#DIV/0!</v>
      </c>
    </row>
    <row r="29" spans="1:30" ht="12.75">
      <c r="A29" s="607"/>
      <c r="B29" s="8">
        <v>27</v>
      </c>
      <c r="C29" s="552" t="s">
        <v>714</v>
      </c>
      <c r="D29" s="552" t="s">
        <v>715</v>
      </c>
      <c r="AD29" t="e">
        <f t="shared" si="0"/>
        <v>#DIV/0!</v>
      </c>
    </row>
    <row r="30" spans="1:30" ht="12.75">
      <c r="A30" s="607"/>
      <c r="B30" s="8">
        <v>28</v>
      </c>
      <c r="C30" s="552" t="s">
        <v>716</v>
      </c>
      <c r="D30" s="552" t="s">
        <v>570</v>
      </c>
      <c r="AD30" t="e">
        <f t="shared" si="0"/>
        <v>#DIV/0!</v>
      </c>
    </row>
    <row r="31" spans="1:30" ht="12.75">
      <c r="A31" s="607"/>
      <c r="B31" s="8">
        <v>29</v>
      </c>
      <c r="C31" s="552" t="s">
        <v>717</v>
      </c>
      <c r="D31" s="552" t="s">
        <v>564</v>
      </c>
      <c r="AD31" t="e">
        <f t="shared" si="0"/>
        <v>#DIV/0!</v>
      </c>
    </row>
    <row r="32" spans="1:30" ht="12.75">
      <c r="A32" s="607"/>
      <c r="B32" s="8">
        <v>30</v>
      </c>
      <c r="C32" s="552" t="s">
        <v>812</v>
      </c>
      <c r="D32" s="552" t="s">
        <v>813</v>
      </c>
      <c r="AD32" t="e">
        <f t="shared" si="0"/>
        <v>#DIV/0!</v>
      </c>
    </row>
    <row r="33" spans="1:30" ht="12.75">
      <c r="A33" s="608"/>
      <c r="B33" s="8">
        <v>31</v>
      </c>
      <c r="C33" s="799" t="s">
        <v>825</v>
      </c>
      <c r="D33" s="799" t="s">
        <v>1034</v>
      </c>
      <c r="AD33" t="e">
        <f t="shared" si="0"/>
        <v>#DIV/0!</v>
      </c>
    </row>
    <row r="34" spans="1:30" ht="12.75">
      <c r="A34" s="607"/>
      <c r="B34" s="8">
        <v>32</v>
      </c>
      <c r="C34" s="552" t="s">
        <v>521</v>
      </c>
      <c r="D34" s="552" t="s">
        <v>555</v>
      </c>
      <c r="AD34" t="e">
        <f t="shared" si="0"/>
        <v>#DIV/0!</v>
      </c>
    </row>
    <row r="35" spans="1:30" ht="12.75">
      <c r="A35" s="607"/>
      <c r="B35" s="8">
        <v>33</v>
      </c>
      <c r="C35" s="552" t="s">
        <v>556</v>
      </c>
      <c r="D35" s="552" t="s">
        <v>555</v>
      </c>
      <c r="AD35" t="e">
        <f t="shared" si="0"/>
        <v>#DIV/0!</v>
      </c>
    </row>
    <row r="36" spans="1:30" ht="12.75">
      <c r="A36" s="607"/>
      <c r="B36" s="8">
        <v>34</v>
      </c>
      <c r="C36" s="552" t="s">
        <v>522</v>
      </c>
      <c r="D36" s="552" t="s">
        <v>557</v>
      </c>
      <c r="AD36" t="e">
        <f t="shared" si="0"/>
        <v>#DIV/0!</v>
      </c>
    </row>
    <row r="37" spans="1:30" ht="12.75">
      <c r="A37" s="607"/>
      <c r="B37" s="8">
        <v>35</v>
      </c>
      <c r="C37" s="552" t="s">
        <v>558</v>
      </c>
      <c r="D37" s="552" t="s">
        <v>559</v>
      </c>
      <c r="AD37" t="e">
        <f t="shared" si="0"/>
        <v>#DIV/0!</v>
      </c>
    </row>
    <row r="38" spans="1:30" ht="12.75">
      <c r="A38" s="607"/>
      <c r="B38" s="8">
        <v>36</v>
      </c>
      <c r="C38" s="552" t="s">
        <v>523</v>
      </c>
      <c r="D38" s="552" t="s">
        <v>565</v>
      </c>
      <c r="AD38" t="e">
        <f t="shared" si="0"/>
        <v>#DIV/0!</v>
      </c>
    </row>
    <row r="39" spans="1:4" ht="12.75">
      <c r="A39" s="607"/>
      <c r="B39" s="8">
        <v>37</v>
      </c>
      <c r="C39" s="552" t="s">
        <v>524</v>
      </c>
      <c r="D39" s="552" t="s">
        <v>571</v>
      </c>
    </row>
    <row r="40" spans="1:4" ht="12.75">
      <c r="A40" s="607"/>
      <c r="B40" s="8">
        <v>38</v>
      </c>
      <c r="C40" s="552" t="s">
        <v>560</v>
      </c>
      <c r="D40" s="552" t="s">
        <v>572</v>
      </c>
    </row>
    <row r="41" spans="1:4" ht="12.75">
      <c r="A41" s="607"/>
      <c r="B41" s="8">
        <v>39</v>
      </c>
      <c r="C41" s="552" t="s">
        <v>525</v>
      </c>
      <c r="D41" s="552" t="s">
        <v>573</v>
      </c>
    </row>
    <row r="42" spans="1:4" ht="12.75">
      <c r="A42" s="607"/>
      <c r="B42" s="8">
        <v>40</v>
      </c>
      <c r="C42" s="552" t="s">
        <v>526</v>
      </c>
      <c r="D42" s="552" t="s">
        <v>718</v>
      </c>
    </row>
    <row r="43" spans="1:4" ht="12.75">
      <c r="A43" s="607"/>
      <c r="B43" s="8">
        <v>41</v>
      </c>
      <c r="C43" s="552" t="s">
        <v>527</v>
      </c>
      <c r="D43" s="552" t="s">
        <v>881</v>
      </c>
    </row>
    <row r="44" spans="1:4" ht="12.75">
      <c r="A44" s="607"/>
      <c r="B44" s="8">
        <v>42</v>
      </c>
      <c r="C44" s="552" t="s">
        <v>528</v>
      </c>
      <c r="D44" s="552" t="s">
        <v>561</v>
      </c>
    </row>
    <row r="45" spans="1:4" ht="12.75">
      <c r="A45" s="607"/>
      <c r="B45" s="8">
        <v>43</v>
      </c>
      <c r="C45" s="552" t="s">
        <v>529</v>
      </c>
      <c r="D45" s="552" t="s">
        <v>562</v>
      </c>
    </row>
    <row r="46" spans="1:4" ht="12.75">
      <c r="A46" s="607"/>
      <c r="B46" s="8">
        <v>44</v>
      </c>
      <c r="C46" s="552" t="s">
        <v>530</v>
      </c>
      <c r="D46" s="552" t="s">
        <v>563</v>
      </c>
    </row>
    <row r="47" spans="1:4" ht="12.75">
      <c r="A47" s="607"/>
      <c r="B47" s="8">
        <v>45</v>
      </c>
      <c r="C47" s="552" t="s">
        <v>531</v>
      </c>
      <c r="D47" s="552" t="s">
        <v>567</v>
      </c>
    </row>
    <row r="48" spans="1:4" ht="12.75">
      <c r="A48" s="607"/>
      <c r="B48" s="8">
        <v>46</v>
      </c>
      <c r="C48" s="552" t="s">
        <v>532</v>
      </c>
      <c r="D48" s="552" t="s">
        <v>568</v>
      </c>
    </row>
    <row r="49" spans="1:4" ht="12.75">
      <c r="A49" s="607"/>
      <c r="B49" s="8">
        <v>47</v>
      </c>
      <c r="C49" s="552" t="s">
        <v>533</v>
      </c>
      <c r="D49" s="552" t="s">
        <v>882</v>
      </c>
    </row>
    <row r="50" spans="1:4" ht="12.75">
      <c r="A50" s="607"/>
      <c r="B50" s="8">
        <v>48</v>
      </c>
      <c r="C50" s="552" t="s">
        <v>719</v>
      </c>
      <c r="D50" s="552" t="s">
        <v>883</v>
      </c>
    </row>
    <row r="51" spans="1:4" ht="12.75">
      <c r="A51" s="607"/>
      <c r="B51" s="8">
        <v>49</v>
      </c>
      <c r="C51" s="552" t="s">
        <v>534</v>
      </c>
      <c r="D51" s="552" t="s">
        <v>566</v>
      </c>
    </row>
    <row r="52" spans="1:4" ht="12.75">
      <c r="A52" s="607"/>
      <c r="B52" s="8">
        <v>50</v>
      </c>
      <c r="C52" s="552" t="s">
        <v>535</v>
      </c>
      <c r="D52" s="552" t="s">
        <v>569</v>
      </c>
    </row>
    <row r="53" spans="1:4" ht="12.75">
      <c r="A53" s="607"/>
      <c r="B53" s="8">
        <v>51</v>
      </c>
      <c r="C53" s="552" t="s">
        <v>536</v>
      </c>
      <c r="D53" s="552" t="s">
        <v>884</v>
      </c>
    </row>
    <row r="54" spans="1:4" ht="12.75">
      <c r="A54" s="607"/>
      <c r="B54" s="8">
        <v>52</v>
      </c>
      <c r="C54" s="552" t="s">
        <v>720</v>
      </c>
      <c r="D54" s="552" t="s">
        <v>885</v>
      </c>
    </row>
    <row r="55" spans="1:4" ht="12.75">
      <c r="A55" s="607"/>
      <c r="B55" s="8">
        <v>53</v>
      </c>
      <c r="C55" s="552" t="s">
        <v>537</v>
      </c>
      <c r="D55" s="552" t="s">
        <v>886</v>
      </c>
    </row>
    <row r="56" spans="1:4" ht="12.75">
      <c r="A56" s="607"/>
      <c r="B56" s="8">
        <v>54</v>
      </c>
      <c r="C56" s="552" t="s">
        <v>721</v>
      </c>
      <c r="D56" s="552" t="s">
        <v>887</v>
      </c>
    </row>
    <row r="57" spans="1:4" ht="12.75">
      <c r="A57" s="607"/>
      <c r="B57" s="8">
        <v>55</v>
      </c>
      <c r="C57" s="552" t="s">
        <v>722</v>
      </c>
      <c r="D57" s="552" t="s">
        <v>888</v>
      </c>
    </row>
    <row r="58" spans="1:4" ht="12.75">
      <c r="A58" s="607"/>
      <c r="B58" s="8">
        <v>56</v>
      </c>
      <c r="C58" s="552" t="s">
        <v>723</v>
      </c>
      <c r="D58" s="552" t="s">
        <v>889</v>
      </c>
    </row>
    <row r="59" spans="1:18" ht="12.75">
      <c r="A59" s="607"/>
      <c r="B59" s="8">
        <v>57</v>
      </c>
      <c r="C59" s="552" t="s">
        <v>724</v>
      </c>
      <c r="D59" s="552" t="s">
        <v>890</v>
      </c>
      <c r="P59" s="152"/>
      <c r="Q59" s="152"/>
      <c r="R59" s="152"/>
    </row>
    <row r="60" spans="1:4" ht="12.75">
      <c r="A60" s="607"/>
      <c r="B60" s="8">
        <v>58</v>
      </c>
      <c r="C60" s="552" t="s">
        <v>538</v>
      </c>
      <c r="D60" s="552" t="s">
        <v>891</v>
      </c>
    </row>
    <row r="61" spans="1:20" s="405" customFormat="1" ht="12.75" customHeight="1">
      <c r="A61" s="607"/>
      <c r="B61" s="8">
        <v>59</v>
      </c>
      <c r="C61" s="552" t="s">
        <v>725</v>
      </c>
      <c r="D61" s="552" t="s">
        <v>892</v>
      </c>
      <c r="E61"/>
      <c r="N61" s="854"/>
      <c r="O61" s="854"/>
      <c r="P61" s="854"/>
      <c r="Q61" s="854"/>
      <c r="R61" s="854"/>
      <c r="S61" s="854"/>
      <c r="T61" s="854"/>
    </row>
    <row r="62" spans="1:20" s="405" customFormat="1" ht="12.75" customHeight="1">
      <c r="A62" s="607"/>
      <c r="B62" s="8">
        <v>60</v>
      </c>
      <c r="C62" s="552" t="s">
        <v>910</v>
      </c>
      <c r="D62" s="552" t="s">
        <v>913</v>
      </c>
      <c r="E62"/>
      <c r="N62" s="599"/>
      <c r="O62" s="599"/>
      <c r="P62" s="599"/>
      <c r="Q62" s="599"/>
      <c r="R62" s="599"/>
      <c r="S62" s="599"/>
      <c r="T62" s="599"/>
    </row>
    <row r="63" spans="1:4" ht="12.75" customHeight="1">
      <c r="A63" s="607"/>
      <c r="B63" s="8">
        <v>61</v>
      </c>
      <c r="C63" s="552" t="s">
        <v>539</v>
      </c>
      <c r="D63" s="552" t="s">
        <v>1035</v>
      </c>
    </row>
    <row r="64" spans="1:4" ht="12.75" customHeight="1">
      <c r="A64" s="607"/>
      <c r="B64" s="8">
        <v>62</v>
      </c>
      <c r="C64" s="606" t="s">
        <v>911</v>
      </c>
      <c r="D64" s="552" t="s">
        <v>912</v>
      </c>
    </row>
    <row r="65" spans="1:4" ht="12.75" customHeight="1">
      <c r="A65" s="609"/>
      <c r="B65" s="8">
        <v>63</v>
      </c>
      <c r="C65" s="552" t="s">
        <v>540</v>
      </c>
      <c r="D65" s="552" t="s">
        <v>893</v>
      </c>
    </row>
    <row r="66" spans="1:4" ht="12.75" customHeight="1">
      <c r="A66" s="607"/>
      <c r="B66" s="8">
        <v>64</v>
      </c>
      <c r="C66" s="552" t="s">
        <v>541</v>
      </c>
      <c r="D66" s="552" t="s">
        <v>894</v>
      </c>
    </row>
    <row r="67" spans="1:4" ht="12.75" customHeight="1">
      <c r="A67" s="607"/>
      <c r="B67" s="8">
        <v>65</v>
      </c>
      <c r="C67" s="553" t="s">
        <v>814</v>
      </c>
      <c r="D67" s="553" t="s">
        <v>895</v>
      </c>
    </row>
    <row r="68" spans="1:4" ht="12.75" customHeight="1">
      <c r="A68" s="610"/>
      <c r="B68" s="8">
        <v>66</v>
      </c>
      <c r="C68" s="553" t="s">
        <v>815</v>
      </c>
      <c r="D68" s="553" t="s">
        <v>872</v>
      </c>
    </row>
    <row r="69" ht="12.75">
      <c r="A69" s="610"/>
    </row>
  </sheetData>
  <sheetProtection/>
  <mergeCells count="2">
    <mergeCell ref="N61:T61"/>
    <mergeCell ref="B1:E1"/>
  </mergeCells>
  <hyperlinks>
    <hyperlink ref="C3" location="'AT-1-Gen_Info '!A1" display="AT- 1"/>
    <hyperlink ref="C4" location="'AT-2-S1 BUDGET'!A1" display="AT - 2"/>
    <hyperlink ref="C5" location="AT_2A_fundflow!A1" display="AT - 2 A"/>
    <hyperlink ref="C6" location="'AT-3'!A1" display="AT - 3"/>
    <hyperlink ref="C7" location="'AT3B_cvrg(Insti)_UPY '!A1" display="AT- 3 B"/>
    <hyperlink ref="C8" location="'AT3C_cvrg(Insti)_UPY '!A1" display="AT-3 C"/>
    <hyperlink ref="C9" location="'enrolment vs availed_PY'!A1" display="AT - 4"/>
    <hyperlink ref="C10" location="'enrolment vs availed_UPY'!A1" display="AT - 4 A"/>
    <hyperlink ref="C11" location="T5_PLAN_vs_PRFM!A1" display="AT - 5"/>
    <hyperlink ref="C12" location="'T5A_PLAN_vs_PRFM '!A1" display="AT - 5 A"/>
    <hyperlink ref="C13" location="'T5B_PLAN_vs_PRFM  (2)'!A1" display="AT - 5 B"/>
    <hyperlink ref="C14" location="'T5C_Drought_PLAN_vs_PRFM '!A1" display="AT - 5 C"/>
    <hyperlink ref="C15" location="'T5D_Drought_PLAN_vs_PRFM  '!A1" display="AT - 5 D"/>
    <hyperlink ref="C16" location="T6_FG_py_Utlsn!A1" display="AT - 6"/>
    <hyperlink ref="C17" location="'T6A_FG_Upy_Utlsn '!A1" display="AT - 6 A"/>
    <hyperlink ref="C18" location="T6B_Pay_FG_FCI_Pry!A1" display="AT - 6 B"/>
    <hyperlink ref="C19" location="T6C_Coarse_Grain!A1" display="AT - 6 C"/>
    <hyperlink ref="C20" location="T7_CC_PY_Utlsn!A1" display="AT - 7"/>
    <hyperlink ref="C21" location="'T7ACC_UPY_Utlsn '!A1" display="AT - 7 A"/>
    <hyperlink ref="C22" location="'AT-8_Hon_CCH_Pry'!A1" display="AT - 8"/>
    <hyperlink ref="C23" location="'AT-8A_Hon_CCH_UPry'!A1" display="AT - 8 A"/>
    <hyperlink ref="C24" location="AT9_TA!A1" display="AT - 9"/>
    <hyperlink ref="C25" location="AT10_MME!A1" display="AT - 10"/>
    <hyperlink ref="C26" location="AT10A_!A1" display="AT - 10 A"/>
    <hyperlink ref="C27" location="'AT11_KS Year wise'!A1" display="AT - 11"/>
    <hyperlink ref="C28" location="'AT11A_KS-District wise'!A1" display="AT - 11 A"/>
    <hyperlink ref="C29" location="'AT12_KD-New'!A1" display="AT - 12"/>
    <hyperlink ref="C30" location="'AT12A_KD-Replacement'!A1" display="AT - 12 A"/>
    <hyperlink ref="C31" location="AT13_NoWD!A1" display="AT - 13"/>
    <hyperlink ref="C32" location="AT13A_NoWD!A1" display="AT - 13 A"/>
    <hyperlink ref="C33" location="AT14_Req_FG_CA_Pry!A1" display="AT - 14"/>
    <hyperlink ref="C34" location="'AT14A_Req_FG_CA_UPry '!A1" display="AT - 14 A"/>
    <hyperlink ref="C35" location="AT14B_Req_FG_CA_NCLP!A1" display="AT - 14 B"/>
    <hyperlink ref="C36" location="'AT14C_Req_FG_CA_Drought-Pry'!A1" display="AT - 14 C"/>
    <hyperlink ref="C37" location="'AT14D_Req_FG_CA_Drought-UPry'!A1" display="AT - 14 D"/>
    <hyperlink ref="C38" location="AT_15_RqmtKitchen!A1" display="AT - 15"/>
    <hyperlink ref="C39" location="'AT-15A_RqmtPlinthArea'!A1" display="AT- 15 A"/>
    <hyperlink ref="C40" location="AT16_K_D!A1" display="AT - 16"/>
    <hyperlink ref="C41" location="'AT-17_Coook-cum-Helper'!A1" display="AT - 17"/>
    <hyperlink ref="C42" location="'AT18_Details_Community '!A1" display="AT - 18"/>
    <hyperlink ref="C43" location="AT_19_Impl_Agency!A1" display="AT - 19"/>
    <hyperlink ref="C44" location="'AT_20_SchoolCookingagency '!Print_Area" display="AT - 20"/>
    <hyperlink ref="C45" location="'AT_20A_CentralCookingagency '!Print_Area" display="AT - 20 A"/>
    <hyperlink ref="C46" location="'AT_21_Coverage-RBSK '!Print_Area" display="AT - 21"/>
    <hyperlink ref="C47" location="'AT_22_Budget_provision_11-121 '!Print_Area" display="AT - 22"/>
    <hyperlink ref="C48" location="AT_23_fundflow!Print_Area" display="AT - 23"/>
    <hyperlink ref="C49" location="'AT-24'!A1" display="AT - 24"/>
    <hyperlink ref="C50" location="'AT-25'!A1" display="AT - 25"/>
    <hyperlink ref="C51" location="'AT-26'!A1" display="AT - 26"/>
    <hyperlink ref="C52" location="'AT-27'!A1" display="AT - 27"/>
    <hyperlink ref="C53" location="'AT-28'!A1" display="AT - 28"/>
    <hyperlink ref="C54" location="'AT-29'!A1" display="AT - 29"/>
    <hyperlink ref="C55" location="'AT-30'!A1" display="AT - 30"/>
    <hyperlink ref="C56" location="'AT-31'!A1" display="AT - 31"/>
    <hyperlink ref="C57" location="'AT-32'!A1" display="AT - 32"/>
    <hyperlink ref="C58" location="'AT-33'!A1" display="AT - 33"/>
    <hyperlink ref="C59" location="'AT-33 A'!A1" display="AT - 33 A"/>
    <hyperlink ref="C60" location="'AT-34'!A1" display="AT - 34"/>
  </hyperlinks>
  <printOptions/>
  <pageMargins left="1.68" right="0.7" top="0.69" bottom="0.37" header="0.3" footer="0.3"/>
  <pageSetup fitToHeight="1" fitToWidth="1" horizontalDpi="600" verticalDpi="600" orientation="landscape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M49"/>
  <sheetViews>
    <sheetView view="pageBreakPreview" zoomScale="90" zoomScaleSheetLayoutView="90" zoomScalePageLayoutView="0" workbookViewId="0" topLeftCell="E10">
      <selection activeCell="R20" sqref="R20"/>
    </sheetView>
  </sheetViews>
  <sheetFormatPr defaultColWidth="9.140625" defaultRowHeight="12.75"/>
  <cols>
    <col min="1" max="1" width="6.00390625" style="15" customWidth="1"/>
    <col min="2" max="2" width="15.57421875" style="15" customWidth="1"/>
    <col min="3" max="3" width="10.57421875" style="15" customWidth="1"/>
    <col min="4" max="4" width="9.8515625" style="15" customWidth="1"/>
    <col min="5" max="5" width="9.7109375" style="15" customWidth="1"/>
    <col min="6" max="6" width="10.8515625" style="15" customWidth="1"/>
    <col min="7" max="7" width="13.57421875" style="15" customWidth="1"/>
    <col min="8" max="8" width="12.421875" style="15" customWidth="1"/>
    <col min="9" max="9" width="12.140625" style="15" customWidth="1"/>
    <col min="10" max="10" width="9.00390625" style="15" customWidth="1"/>
    <col min="11" max="11" width="12.00390625" style="15" customWidth="1"/>
    <col min="12" max="12" width="13.7109375" style="15" customWidth="1"/>
    <col min="13" max="13" width="9.140625" style="15" hidden="1" customWidth="1"/>
    <col min="14" max="16384" width="9.140625" style="15" customWidth="1"/>
  </cols>
  <sheetData>
    <row r="1" spans="4:13" ht="12.75">
      <c r="D1" s="35"/>
      <c r="E1" s="35"/>
      <c r="F1" s="35"/>
      <c r="G1" s="35"/>
      <c r="H1" s="35"/>
      <c r="I1" s="35"/>
      <c r="J1" s="35"/>
      <c r="K1" s="35"/>
      <c r="L1" s="981" t="s">
        <v>72</v>
      </c>
      <c r="M1" s="981"/>
    </row>
    <row r="2" spans="1:13" ht="15">
      <c r="A2" s="969" t="s">
        <v>0</v>
      </c>
      <c r="B2" s="969"/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44"/>
    </row>
    <row r="3" spans="1:13" ht="20.25">
      <c r="A3" s="982" t="s">
        <v>859</v>
      </c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43"/>
    </row>
    <row r="4" ht="10.5" customHeight="1"/>
    <row r="5" spans="1:12" ht="19.5" customHeight="1">
      <c r="A5" s="971" t="s">
        <v>1043</v>
      </c>
      <c r="B5" s="971"/>
      <c r="C5" s="971"/>
      <c r="D5" s="971"/>
      <c r="E5" s="971"/>
      <c r="F5" s="971"/>
      <c r="G5" s="971"/>
      <c r="H5" s="971"/>
      <c r="I5" s="971"/>
      <c r="J5" s="971"/>
      <c r="K5" s="971"/>
      <c r="L5" s="971"/>
    </row>
    <row r="6" spans="1:12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898" t="s">
        <v>636</v>
      </c>
      <c r="B7" s="898"/>
      <c r="F7" s="979" t="s">
        <v>20</v>
      </c>
      <c r="G7" s="979"/>
      <c r="H7" s="979"/>
      <c r="I7" s="979"/>
      <c r="J7" s="979"/>
      <c r="K7" s="979"/>
      <c r="L7" s="979"/>
    </row>
    <row r="8" spans="1:12" ht="12.75">
      <c r="A8" s="14"/>
      <c r="F8" s="16"/>
      <c r="G8" s="100"/>
      <c r="H8" s="100"/>
      <c r="I8" s="980" t="s">
        <v>936</v>
      </c>
      <c r="J8" s="980"/>
      <c r="K8" s="980"/>
      <c r="L8" s="980"/>
    </row>
    <row r="9" spans="1:12" s="14" customFormat="1" ht="12.75">
      <c r="A9" s="871" t="s">
        <v>2</v>
      </c>
      <c r="B9" s="871" t="s">
        <v>3</v>
      </c>
      <c r="C9" s="894" t="s">
        <v>21</v>
      </c>
      <c r="D9" s="895"/>
      <c r="E9" s="895"/>
      <c r="F9" s="895"/>
      <c r="G9" s="895"/>
      <c r="H9" s="894" t="s">
        <v>42</v>
      </c>
      <c r="I9" s="895"/>
      <c r="J9" s="895"/>
      <c r="K9" s="895"/>
      <c r="L9" s="895"/>
    </row>
    <row r="10" spans="1:12" s="14" customFormat="1" ht="77.25" customHeight="1">
      <c r="A10" s="871"/>
      <c r="B10" s="871"/>
      <c r="C10" s="5" t="s">
        <v>938</v>
      </c>
      <c r="D10" s="5" t="s">
        <v>939</v>
      </c>
      <c r="E10" s="5" t="s">
        <v>70</v>
      </c>
      <c r="F10" s="5" t="s">
        <v>71</v>
      </c>
      <c r="G10" s="5" t="s">
        <v>942</v>
      </c>
      <c r="H10" s="5" t="s">
        <v>640</v>
      </c>
      <c r="I10" s="5" t="s">
        <v>940</v>
      </c>
      <c r="J10" s="5" t="s">
        <v>70</v>
      </c>
      <c r="K10" s="5" t="s">
        <v>71</v>
      </c>
      <c r="L10" s="5" t="s">
        <v>361</v>
      </c>
    </row>
    <row r="11" spans="1:12" s="14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s="14" customFormat="1" ht="12.75">
      <c r="A12" s="581">
        <v>1</v>
      </c>
      <c r="B12" s="586" t="s">
        <v>898</v>
      </c>
      <c r="C12" s="318">
        <f>ROUND('AT5A_PLAN_vs_PRFM '!D12*'AT5A_PLAN_vs_PRFM '!E12*150/1000000+'AT5D_Drought_PLAN_vs_PRFM  '!D12*'AT5D_Drought_PLAN_vs_PRFM  '!E12*150/1000000,2)</f>
        <v>1183.28</v>
      </c>
      <c r="D12" s="318">
        <v>5.217049434517688</v>
      </c>
      <c r="E12" s="315">
        <v>1041.68</v>
      </c>
      <c r="F12" s="315">
        <v>1000.0836</v>
      </c>
      <c r="G12" s="315">
        <f>D12+E12-F12</f>
        <v>46.81344943451779</v>
      </c>
      <c r="H12" s="316"/>
      <c r="I12" s="7"/>
      <c r="J12" s="7"/>
      <c r="K12" s="7"/>
      <c r="L12" s="5"/>
    </row>
    <row r="13" spans="1:12" s="14" customFormat="1" ht="12.75">
      <c r="A13" s="581">
        <v>2</v>
      </c>
      <c r="B13" s="586" t="s">
        <v>899</v>
      </c>
      <c r="C13" s="318">
        <f>ROUND('AT5A_PLAN_vs_PRFM '!D13*'AT5A_PLAN_vs_PRFM '!E13*150/1000000+'AT5D_Drought_PLAN_vs_PRFM  '!D13*'AT5D_Drought_PLAN_vs_PRFM  '!E13*150/1000000,2)</f>
        <v>1303.49</v>
      </c>
      <c r="D13" s="318">
        <v>5.746865097069637</v>
      </c>
      <c r="E13" s="315">
        <v>1145.9</v>
      </c>
      <c r="F13" s="315">
        <v>1100.14995</v>
      </c>
      <c r="G13" s="315">
        <f aca="true" t="shared" si="0" ref="G13:G38">D13+E13-F13</f>
        <v>51.49691509706963</v>
      </c>
      <c r="H13" s="316"/>
      <c r="I13" s="7"/>
      <c r="J13" s="7"/>
      <c r="K13" s="7"/>
      <c r="L13" s="5"/>
    </row>
    <row r="14" spans="1:12" s="14" customFormat="1" ht="12.75">
      <c r="A14" s="581">
        <v>3</v>
      </c>
      <c r="B14" s="586" t="s">
        <v>839</v>
      </c>
      <c r="C14" s="318">
        <f>ROUND('AT5A_PLAN_vs_PRFM '!D14*'AT5A_PLAN_vs_PRFM '!E14*150/1000000+'AT5D_Drought_PLAN_vs_PRFM  '!D14*'AT5D_Drought_PLAN_vs_PRFM  '!E14*150/1000000,2)</f>
        <v>1131.05</v>
      </c>
      <c r="D14" s="318">
        <v>4.986584382982207</v>
      </c>
      <c r="E14" s="315">
        <v>977.21</v>
      </c>
      <c r="F14" s="315">
        <v>938.27925</v>
      </c>
      <c r="G14" s="315">
        <f t="shared" si="0"/>
        <v>43.917334382982176</v>
      </c>
      <c r="H14" s="316"/>
      <c r="I14" s="7"/>
      <c r="J14" s="7"/>
      <c r="K14" s="7"/>
      <c r="L14" s="5"/>
    </row>
    <row r="15" spans="1:12" s="14" customFormat="1" ht="12.75">
      <c r="A15" s="581">
        <v>4</v>
      </c>
      <c r="B15" s="586" t="s">
        <v>743</v>
      </c>
      <c r="C15" s="318">
        <f>ROUND('AT5A_PLAN_vs_PRFM '!D15*'AT5A_PLAN_vs_PRFM '!E15*150/1000000+'AT5D_Drought_PLAN_vs_PRFM  '!D15*'AT5D_Drought_PLAN_vs_PRFM  '!E15*150/1000000,2)</f>
        <v>3806.87</v>
      </c>
      <c r="D15" s="318">
        <v>17.545876832500205</v>
      </c>
      <c r="E15" s="315">
        <v>2758.79</v>
      </c>
      <c r="F15" s="315">
        <v>2652.1863</v>
      </c>
      <c r="G15" s="315">
        <f t="shared" si="0"/>
        <v>124.14957683250032</v>
      </c>
      <c r="H15" s="316"/>
      <c r="I15" s="7"/>
      <c r="J15" s="7"/>
      <c r="K15" s="7"/>
      <c r="L15" s="5"/>
    </row>
    <row r="16" spans="1:12" s="14" customFormat="1" ht="12.75">
      <c r="A16" s="581">
        <v>5</v>
      </c>
      <c r="B16" s="586" t="s">
        <v>748</v>
      </c>
      <c r="C16" s="318">
        <f>ROUND('AT5A_PLAN_vs_PRFM '!D16*'AT5A_PLAN_vs_PRFM '!E16*150/1000000+'AT5D_Drought_PLAN_vs_PRFM  '!D16*'AT5D_Drought_PLAN_vs_PRFM  '!E16*150/1000000,2)</f>
        <v>2303.68</v>
      </c>
      <c r="D16" s="318">
        <v>10.220164764550459</v>
      </c>
      <c r="E16" s="315">
        <v>1762.34</v>
      </c>
      <c r="F16" s="315">
        <v>1693.2975</v>
      </c>
      <c r="G16" s="315">
        <f t="shared" si="0"/>
        <v>79.26266476455044</v>
      </c>
      <c r="H16" s="316"/>
      <c r="I16" s="7"/>
      <c r="J16" s="7"/>
      <c r="K16" s="7"/>
      <c r="L16" s="5"/>
    </row>
    <row r="17" spans="1:12" s="14" customFormat="1" ht="12.75">
      <c r="A17" s="581">
        <v>6</v>
      </c>
      <c r="B17" s="586" t="s">
        <v>747</v>
      </c>
      <c r="C17" s="318">
        <f>ROUND('AT5A_PLAN_vs_PRFM '!D17*'AT5A_PLAN_vs_PRFM '!E17*150/1000000+'AT5D_Drought_PLAN_vs_PRFM  '!D17*'AT5D_Drought_PLAN_vs_PRFM  '!E17*150/1000000,2)</f>
        <v>3184.28</v>
      </c>
      <c r="D17" s="318">
        <v>14.03919182182564</v>
      </c>
      <c r="E17" s="315">
        <v>2493.84</v>
      </c>
      <c r="F17" s="315">
        <v>2395.73205</v>
      </c>
      <c r="G17" s="315">
        <f t="shared" si="0"/>
        <v>112.1471418218257</v>
      </c>
      <c r="H17" s="316"/>
      <c r="I17" s="7"/>
      <c r="J17" s="7"/>
      <c r="K17" s="7"/>
      <c r="L17" s="5"/>
    </row>
    <row r="18" spans="1:12" s="14" customFormat="1" ht="12.75">
      <c r="A18" s="581">
        <v>7</v>
      </c>
      <c r="B18" s="586" t="s">
        <v>737</v>
      </c>
      <c r="C18" s="318">
        <f>ROUND('AT5A_PLAN_vs_PRFM '!D18*'AT5A_PLAN_vs_PRFM '!E18*150/1000000+'AT5D_Drought_PLAN_vs_PRFM  '!D18*'AT5D_Drought_PLAN_vs_PRFM  '!E18*150/1000000,2)</f>
        <v>1963.26</v>
      </c>
      <c r="D18" s="318">
        <v>8.65576154001314</v>
      </c>
      <c r="E18" s="315">
        <v>1419.52</v>
      </c>
      <c r="F18" s="315">
        <v>1364.30805</v>
      </c>
      <c r="G18" s="315">
        <f t="shared" si="0"/>
        <v>63.86771154001303</v>
      </c>
      <c r="H18" s="316"/>
      <c r="I18" s="7"/>
      <c r="J18" s="7"/>
      <c r="K18" s="7"/>
      <c r="L18" s="5"/>
    </row>
    <row r="19" spans="1:12" s="14" customFormat="1" ht="12.75">
      <c r="A19" s="581">
        <v>8</v>
      </c>
      <c r="B19" s="586" t="s">
        <v>749</v>
      </c>
      <c r="C19" s="318">
        <f>ROUND('AT5A_PLAN_vs_PRFM '!D19*'AT5A_PLAN_vs_PRFM '!E19*150/1000000+'AT5D_Drought_PLAN_vs_PRFM  '!D19*'AT5D_Drought_PLAN_vs_PRFM  '!E19*150/1000000,2)</f>
        <v>2974.74</v>
      </c>
      <c r="D19" s="318">
        <v>13.115323776219588</v>
      </c>
      <c r="E19" s="315">
        <v>2233.97</v>
      </c>
      <c r="F19" s="315">
        <v>2146.599</v>
      </c>
      <c r="G19" s="315">
        <f t="shared" si="0"/>
        <v>100.48632377621925</v>
      </c>
      <c r="H19" s="316"/>
      <c r="I19" s="7"/>
      <c r="J19" s="7"/>
      <c r="K19" s="7"/>
      <c r="L19" s="5"/>
    </row>
    <row r="20" spans="1:12" s="14" customFormat="1" ht="12.75">
      <c r="A20" s="581">
        <v>9</v>
      </c>
      <c r="B20" s="586" t="s">
        <v>834</v>
      </c>
      <c r="C20" s="318">
        <f>ROUND('AT5A_PLAN_vs_PRFM '!D20*'AT5A_PLAN_vs_PRFM '!E20*150/1000000+'AT5D_Drought_PLAN_vs_PRFM  '!D20*'AT5D_Drought_PLAN_vs_PRFM  '!E20*150/1000000,2)</f>
        <v>1240.02</v>
      </c>
      <c r="D20" s="318">
        <v>5.562270844359057</v>
      </c>
      <c r="E20" s="315">
        <v>1099.41</v>
      </c>
      <c r="F20" s="315">
        <v>1055.56185</v>
      </c>
      <c r="G20" s="315">
        <f t="shared" si="0"/>
        <v>49.41042084435912</v>
      </c>
      <c r="H20" s="316"/>
      <c r="I20" s="7"/>
      <c r="J20" s="7"/>
      <c r="K20" s="7"/>
      <c r="L20" s="5"/>
    </row>
    <row r="21" spans="1:12" s="14" customFormat="1" ht="12.75">
      <c r="A21" s="581">
        <v>10</v>
      </c>
      <c r="B21" s="586" t="s">
        <v>739</v>
      </c>
      <c r="C21" s="318">
        <f>ROUND('AT5A_PLAN_vs_PRFM '!D21*'AT5A_PLAN_vs_PRFM '!E21*150/1000000+'AT5D_Drought_PLAN_vs_PRFM  '!D21*'AT5D_Drought_PLAN_vs_PRFM  '!E21*150/1000000,2)</f>
        <v>297.23</v>
      </c>
      <c r="D21" s="318">
        <v>1.3103229122688593</v>
      </c>
      <c r="E21" s="315">
        <v>241.75</v>
      </c>
      <c r="F21" s="315">
        <v>232.19265</v>
      </c>
      <c r="G21" s="315">
        <f t="shared" si="0"/>
        <v>10.867672912268887</v>
      </c>
      <c r="H21" s="316"/>
      <c r="I21" s="7"/>
      <c r="J21" s="7"/>
      <c r="K21" s="7"/>
      <c r="L21" s="5"/>
    </row>
    <row r="22" spans="1:12" s="14" customFormat="1" ht="12.75">
      <c r="A22" s="581">
        <v>11</v>
      </c>
      <c r="B22" s="586" t="s">
        <v>900</v>
      </c>
      <c r="C22" s="318">
        <f>ROUND('AT5A_PLAN_vs_PRFM '!D22*'AT5A_PLAN_vs_PRFM '!E22*150/1000000+'AT5D_Drought_PLAN_vs_PRFM  '!D22*'AT5D_Drought_PLAN_vs_PRFM  '!E22*150/1000000,2)</f>
        <v>328.07</v>
      </c>
      <c r="D22" s="318">
        <v>1.351204534243484</v>
      </c>
      <c r="E22" s="315">
        <v>242.33</v>
      </c>
      <c r="F22" s="315">
        <v>232.7874</v>
      </c>
      <c r="G22" s="315">
        <f t="shared" si="0"/>
        <v>10.893804534243515</v>
      </c>
      <c r="H22" s="316"/>
      <c r="I22" s="7"/>
      <c r="J22" s="7"/>
      <c r="K22" s="7"/>
      <c r="L22" s="5"/>
    </row>
    <row r="23" spans="1:12" ht="12.75">
      <c r="A23" s="581">
        <v>12</v>
      </c>
      <c r="B23" s="586" t="s">
        <v>731</v>
      </c>
      <c r="C23" s="318">
        <f>ROUND('AT5A_PLAN_vs_PRFM '!D23*'AT5A_PLAN_vs_PRFM '!E23*150/1000000+'AT5D_Drought_PLAN_vs_PRFM  '!D23*'AT5D_Drought_PLAN_vs_PRFM  '!E23*150/1000000,2)</f>
        <v>1356.89</v>
      </c>
      <c r="D23" s="311">
        <v>5.823595515484611</v>
      </c>
      <c r="E23" s="315">
        <v>1029.7</v>
      </c>
      <c r="F23" s="315">
        <v>989.21445</v>
      </c>
      <c r="G23" s="315">
        <f t="shared" si="0"/>
        <v>46.3091455154846</v>
      </c>
      <c r="H23" s="316"/>
      <c r="I23" s="27"/>
      <c r="J23" s="27"/>
      <c r="K23" s="27"/>
      <c r="L23" s="19"/>
    </row>
    <row r="24" spans="1:12" ht="12.75">
      <c r="A24" s="581">
        <v>13</v>
      </c>
      <c r="B24" s="586" t="s">
        <v>742</v>
      </c>
      <c r="C24" s="318">
        <f>ROUND('AT5A_PLAN_vs_PRFM '!D24*'AT5A_PLAN_vs_PRFM '!E24*150/1000000+'AT5D_Drought_PLAN_vs_PRFM  '!D24*'AT5D_Drought_PLAN_vs_PRFM  '!E24*150/1000000,2)</f>
        <v>1507.22</v>
      </c>
      <c r="D24" s="311">
        <v>6.168924063004894</v>
      </c>
      <c r="E24" s="315">
        <v>1216.31</v>
      </c>
      <c r="F24" s="315">
        <v>1167.8172</v>
      </c>
      <c r="G24" s="315">
        <f t="shared" si="0"/>
        <v>54.66172406300484</v>
      </c>
      <c r="H24" s="316"/>
      <c r="I24" s="27"/>
      <c r="J24" s="27"/>
      <c r="K24" s="27"/>
      <c r="L24" s="19"/>
    </row>
    <row r="25" spans="1:12" ht="12.75">
      <c r="A25" s="581">
        <v>14</v>
      </c>
      <c r="B25" s="586" t="s">
        <v>740</v>
      </c>
      <c r="C25" s="318">
        <f>ROUND('AT5A_PLAN_vs_PRFM '!D25*'AT5A_PLAN_vs_PRFM '!E25*150/1000000+'AT5D_Drought_PLAN_vs_PRFM  '!D25*'AT5D_Drought_PLAN_vs_PRFM  '!E25*150/1000000,2)</f>
        <v>1962.45</v>
      </c>
      <c r="D25" s="311">
        <v>4</v>
      </c>
      <c r="E25" s="315">
        <v>1378.31</v>
      </c>
      <c r="F25" s="315">
        <v>1324.94355</v>
      </c>
      <c r="G25" s="315">
        <f t="shared" si="0"/>
        <v>57.366449999999986</v>
      </c>
      <c r="H25" s="316"/>
      <c r="I25" s="27"/>
      <c r="J25" s="27"/>
      <c r="K25" s="27"/>
      <c r="L25" s="19"/>
    </row>
    <row r="26" spans="1:12" ht="12.75">
      <c r="A26" s="581">
        <v>15</v>
      </c>
      <c r="B26" s="586" t="s">
        <v>734</v>
      </c>
      <c r="C26" s="318">
        <f>ROUND('AT5A_PLAN_vs_PRFM '!D26*'AT5A_PLAN_vs_PRFM '!E26*150/1000000+'AT5D_Drought_PLAN_vs_PRFM  '!D26*'AT5D_Drought_PLAN_vs_PRFM  '!E26*150/1000000,2)</f>
        <v>1147.78</v>
      </c>
      <c r="D26" s="311">
        <v>5.06035991775892</v>
      </c>
      <c r="E26" s="315">
        <v>935.35</v>
      </c>
      <c r="F26" s="315">
        <v>898.35975</v>
      </c>
      <c r="G26" s="315">
        <f t="shared" si="0"/>
        <v>42.05060991775895</v>
      </c>
      <c r="H26" s="316"/>
      <c r="I26" s="27"/>
      <c r="J26" s="27"/>
      <c r="K26" s="27"/>
      <c r="L26" s="19"/>
    </row>
    <row r="27" spans="1:12" ht="12.75">
      <c r="A27" s="581">
        <v>16</v>
      </c>
      <c r="B27" s="586" t="s">
        <v>741</v>
      </c>
      <c r="C27" s="318">
        <f>ROUND('AT5A_PLAN_vs_PRFM '!D27*'AT5A_PLAN_vs_PRFM '!E27*150/1000000+'AT5D_Drought_PLAN_vs_PRFM  '!D27*'AT5D_Drought_PLAN_vs_PRFM  '!E27*150/1000000,2)</f>
        <v>3126.21</v>
      </c>
      <c r="D27" s="311">
        <v>4</v>
      </c>
      <c r="E27" s="315">
        <v>2361.1</v>
      </c>
      <c r="F27" s="315">
        <v>2268.68805</v>
      </c>
      <c r="G27" s="315">
        <f t="shared" si="0"/>
        <v>96.4119499999997</v>
      </c>
      <c r="H27" s="316"/>
      <c r="I27" s="27"/>
      <c r="J27" s="27"/>
      <c r="K27" s="27"/>
      <c r="L27" s="19"/>
    </row>
    <row r="28" spans="1:12" ht="12.75">
      <c r="A28" s="581">
        <v>17</v>
      </c>
      <c r="B28" s="586" t="s">
        <v>733</v>
      </c>
      <c r="C28" s="318">
        <f>ROUND('AT5A_PLAN_vs_PRFM '!D28*'AT5A_PLAN_vs_PRFM '!E28*150/1000000+'AT5D_Drought_PLAN_vs_PRFM  '!D28*'AT5D_Drought_PLAN_vs_PRFM  '!E28*150/1000000,2)</f>
        <v>1032.81</v>
      </c>
      <c r="D28" s="311">
        <v>4.5536039872344585</v>
      </c>
      <c r="E28" s="315">
        <v>853.34</v>
      </c>
      <c r="F28" s="315">
        <v>819.5361</v>
      </c>
      <c r="G28" s="315">
        <f t="shared" si="0"/>
        <v>38.35750398723451</v>
      </c>
      <c r="H28" s="316"/>
      <c r="I28" s="27"/>
      <c r="J28" s="27"/>
      <c r="K28" s="27"/>
      <c r="L28" s="19"/>
    </row>
    <row r="29" spans="1:12" ht="12.75">
      <c r="A29" s="581">
        <v>18</v>
      </c>
      <c r="B29" s="586" t="s">
        <v>735</v>
      </c>
      <c r="C29" s="318">
        <f>ROUND('AT5A_PLAN_vs_PRFM '!D29*'AT5A_PLAN_vs_PRFM '!E29*150/1000000+'AT5D_Drought_PLAN_vs_PRFM  '!D29*'AT5D_Drought_PLAN_vs_PRFM  '!E29*150/1000000,2)</f>
        <v>2496.63</v>
      </c>
      <c r="D29" s="311">
        <v>3</v>
      </c>
      <c r="E29" s="315">
        <v>2033.14</v>
      </c>
      <c r="F29" s="315">
        <v>1953.195</v>
      </c>
      <c r="G29" s="315">
        <f t="shared" si="0"/>
        <v>82.94500000000016</v>
      </c>
      <c r="H29" s="316"/>
      <c r="I29" s="27"/>
      <c r="J29" s="27"/>
      <c r="K29" s="27"/>
      <c r="L29" s="19"/>
    </row>
    <row r="30" spans="1:12" ht="12.75">
      <c r="A30" s="581">
        <v>19</v>
      </c>
      <c r="B30" s="586" t="s">
        <v>732</v>
      </c>
      <c r="C30" s="318">
        <f>ROUND('AT5A_PLAN_vs_PRFM '!D30*'AT5A_PLAN_vs_PRFM '!E30*150/1000000+'AT5D_Drought_PLAN_vs_PRFM  '!D30*'AT5D_Drought_PLAN_vs_PRFM  '!E30*150/1000000,2)</f>
        <v>1615.6</v>
      </c>
      <c r="D30" s="311">
        <v>7.281661286979027</v>
      </c>
      <c r="E30" s="315">
        <v>1377.57</v>
      </c>
      <c r="F30" s="315">
        <v>1322.9301</v>
      </c>
      <c r="G30" s="315">
        <f t="shared" si="0"/>
        <v>61.921561286978886</v>
      </c>
      <c r="H30" s="316"/>
      <c r="I30" s="27"/>
      <c r="J30" s="27"/>
      <c r="K30" s="27"/>
      <c r="L30" s="19"/>
    </row>
    <row r="31" spans="1:12" ht="12.75">
      <c r="A31" s="581">
        <v>20</v>
      </c>
      <c r="B31" s="586" t="s">
        <v>836</v>
      </c>
      <c r="C31" s="318">
        <f>ROUND('AT5A_PLAN_vs_PRFM '!D31*'AT5A_PLAN_vs_PRFM '!E31*150/1000000+'AT5D_Drought_PLAN_vs_PRFM  '!D31*'AT5D_Drought_PLAN_vs_PRFM  '!E31*150/1000000,2)</f>
        <v>1435.68</v>
      </c>
      <c r="D31" s="311">
        <v>6.012249095807463</v>
      </c>
      <c r="E31" s="315">
        <v>1182.79</v>
      </c>
      <c r="F31" s="315">
        <v>1135.64625</v>
      </c>
      <c r="G31" s="315">
        <f t="shared" si="0"/>
        <v>53.155999095807374</v>
      </c>
      <c r="H31" s="316"/>
      <c r="I31" s="27"/>
      <c r="J31" s="27"/>
      <c r="K31" s="27"/>
      <c r="L31" s="19"/>
    </row>
    <row r="32" spans="1:12" ht="12.75">
      <c r="A32" s="581">
        <v>21</v>
      </c>
      <c r="B32" s="586" t="s">
        <v>729</v>
      </c>
      <c r="C32" s="318">
        <f>ROUND('AT5A_PLAN_vs_PRFM '!D32*'AT5A_PLAN_vs_PRFM '!E32*150/1000000+'AT5D_Drought_PLAN_vs_PRFM  '!D32*'AT5D_Drought_PLAN_vs_PRFM  '!E32*150/1000000,2)</f>
        <v>1937.66</v>
      </c>
      <c r="D32" s="311">
        <v>8.542905883492468</v>
      </c>
      <c r="E32" s="315">
        <v>1511.36</v>
      </c>
      <c r="F32" s="315">
        <v>1451.9418</v>
      </c>
      <c r="G32" s="315">
        <f t="shared" si="0"/>
        <v>67.96110588349234</v>
      </c>
      <c r="H32" s="316"/>
      <c r="I32" s="27"/>
      <c r="J32" s="27"/>
      <c r="K32" s="27"/>
      <c r="L32" s="19"/>
    </row>
    <row r="33" spans="1:12" ht="12.75">
      <c r="A33" s="581">
        <v>22</v>
      </c>
      <c r="B33" s="586" t="s">
        <v>746</v>
      </c>
      <c r="C33" s="318">
        <f>ROUND('AT5A_PLAN_vs_PRFM '!D33*'AT5A_PLAN_vs_PRFM '!E33*150/1000000+'AT5D_Drought_PLAN_vs_PRFM  '!D33*'AT5D_Drought_PLAN_vs_PRFM  '!E33*150/1000000,2)</f>
        <v>2160.92</v>
      </c>
      <c r="D33" s="311">
        <v>9.844852216494948</v>
      </c>
      <c r="E33" s="315">
        <v>1736.86</v>
      </c>
      <c r="F33" s="315">
        <v>1668.5949</v>
      </c>
      <c r="G33" s="315">
        <f t="shared" si="0"/>
        <v>78.10995221649478</v>
      </c>
      <c r="H33" s="316"/>
      <c r="I33" s="27"/>
      <c r="J33" s="27"/>
      <c r="K33" s="27"/>
      <c r="L33" s="19"/>
    </row>
    <row r="34" spans="1:12" ht="12.75">
      <c r="A34" s="581">
        <v>23</v>
      </c>
      <c r="B34" s="586" t="s">
        <v>738</v>
      </c>
      <c r="C34" s="318">
        <f>ROUND('AT5A_PLAN_vs_PRFM '!D34*'AT5A_PLAN_vs_PRFM '!E34*150/1000000+'AT5D_Drought_PLAN_vs_PRFM  '!D34*'AT5D_Drought_PLAN_vs_PRFM  '!E34*150/1000000,2)</f>
        <v>1587.69</v>
      </c>
      <c r="D34" s="311">
        <v>14</v>
      </c>
      <c r="E34" s="315">
        <v>1197.58</v>
      </c>
      <c r="F34" s="315">
        <v>1150.11285</v>
      </c>
      <c r="G34" s="315">
        <f t="shared" si="0"/>
        <v>61.46714999999995</v>
      </c>
      <c r="H34" s="316"/>
      <c r="I34" s="27"/>
      <c r="J34" s="27"/>
      <c r="K34" s="27"/>
      <c r="L34" s="19"/>
    </row>
    <row r="35" spans="1:12" ht="12.75">
      <c r="A35" s="581">
        <v>24</v>
      </c>
      <c r="B35" s="586" t="s">
        <v>730</v>
      </c>
      <c r="C35" s="318">
        <f>ROUND('AT5A_PLAN_vs_PRFM '!D35*'AT5A_PLAN_vs_PRFM '!E35*150/1000000+'AT5D_Drought_PLAN_vs_PRFM  '!D35*'AT5D_Drought_PLAN_vs_PRFM  '!E35*150/1000000,2)</f>
        <v>1586.88</v>
      </c>
      <c r="D35" s="311">
        <v>6.8376179338676275</v>
      </c>
      <c r="E35" s="315">
        <v>1309.2</v>
      </c>
      <c r="F35" s="315">
        <v>1257.1905</v>
      </c>
      <c r="G35" s="315">
        <f t="shared" si="0"/>
        <v>58.84711793386782</v>
      </c>
      <c r="H35" s="316"/>
      <c r="I35" s="27"/>
      <c r="J35" s="27"/>
      <c r="K35" s="27"/>
      <c r="L35" s="19"/>
    </row>
    <row r="36" spans="1:12" ht="12.75">
      <c r="A36" s="581">
        <v>25</v>
      </c>
      <c r="B36" s="586" t="s">
        <v>736</v>
      </c>
      <c r="C36" s="318">
        <f>ROUND('AT5A_PLAN_vs_PRFM '!D36*'AT5A_PLAN_vs_PRFM '!E36*150/1000000+'AT5D_Drought_PLAN_vs_PRFM  '!D36*'AT5D_Drought_PLAN_vs_PRFM  '!E36*150/1000000,2)</f>
        <v>424.89</v>
      </c>
      <c r="D36" s="311">
        <v>1.8733089292882492</v>
      </c>
      <c r="E36" s="315">
        <v>406.23</v>
      </c>
      <c r="F36" s="315">
        <v>389.85105</v>
      </c>
      <c r="G36" s="315">
        <f t="shared" si="0"/>
        <v>18.252258929288303</v>
      </c>
      <c r="H36" s="316"/>
      <c r="I36" s="27"/>
      <c r="J36" s="27"/>
      <c r="K36" s="27"/>
      <c r="L36" s="19"/>
    </row>
    <row r="37" spans="1:12" ht="12.75">
      <c r="A37" s="581">
        <v>26</v>
      </c>
      <c r="B37" s="586" t="s">
        <v>744</v>
      </c>
      <c r="C37" s="318">
        <f>ROUND('AT5A_PLAN_vs_PRFM '!D37*'AT5A_PLAN_vs_PRFM '!E37*150/1000000+'AT5D_Drought_PLAN_vs_PRFM  '!D37*'AT5D_Drought_PLAN_vs_PRFM  '!E37*150/1000000,2)</f>
        <v>485.21</v>
      </c>
      <c r="D37" s="311">
        <v>2.109735332908614</v>
      </c>
      <c r="E37" s="315">
        <v>381.34</v>
      </c>
      <c r="F37" s="315">
        <v>366.3009</v>
      </c>
      <c r="G37" s="315">
        <f t="shared" si="0"/>
        <v>17.14883533290856</v>
      </c>
      <c r="H37" s="316"/>
      <c r="I37" s="27"/>
      <c r="J37" s="27"/>
      <c r="K37" s="27"/>
      <c r="L37" s="19"/>
    </row>
    <row r="38" spans="1:12" ht="12.75">
      <c r="A38" s="581">
        <v>27</v>
      </c>
      <c r="B38" s="586" t="s">
        <v>745</v>
      </c>
      <c r="C38" s="318">
        <f>ROUND('AT5A_PLAN_vs_PRFM '!D38*'AT5A_PLAN_vs_PRFM '!E38*150/1000000+'AT5D_Drought_PLAN_vs_PRFM  '!D38*'AT5D_Drought_PLAN_vs_PRFM  '!E38*150/1000000,2)</f>
        <v>1484.59</v>
      </c>
      <c r="D38" s="311">
        <v>6.546589671934383</v>
      </c>
      <c r="E38" s="315">
        <v>1155.29</v>
      </c>
      <c r="F38" s="315">
        <v>1109.883</v>
      </c>
      <c r="G38" s="315">
        <f t="shared" si="0"/>
        <v>51.953589671934196</v>
      </c>
      <c r="H38" s="316"/>
      <c r="I38" s="27"/>
      <c r="J38" s="27"/>
      <c r="K38" s="27"/>
      <c r="L38" s="19"/>
    </row>
    <row r="39" spans="1:12" ht="12.75">
      <c r="A39" s="3" t="s">
        <v>19</v>
      </c>
      <c r="B39" s="19"/>
      <c r="C39" s="309">
        <f>SUM(C12:C38)</f>
        <v>45065.08</v>
      </c>
      <c r="D39" s="309">
        <f>SUM(D12:D38)</f>
        <v>183.40601977480563</v>
      </c>
      <c r="E39" s="309">
        <f>SUM(E12:E38)</f>
        <v>35482.21</v>
      </c>
      <c r="F39" s="309">
        <f>SUM(F12:F38)</f>
        <v>34085.38305000001</v>
      </c>
      <c r="G39" s="309">
        <f>SUM(G12:G38)</f>
        <v>1580.2329697748048</v>
      </c>
      <c r="H39" s="309"/>
      <c r="I39" s="27"/>
      <c r="J39" s="27"/>
      <c r="K39" s="27"/>
      <c r="L39" s="19"/>
    </row>
    <row r="40" spans="1:12" ht="12.75">
      <c r="A40" s="21" t="s">
        <v>944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12.75">
      <c r="A41" s="20" t="s">
        <v>362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15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ht="15.75" customHeight="1">
      <c r="A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ht="14.2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</row>
    <row r="45" spans="1:12" ht="12.75" customHeight="1">
      <c r="A45" s="83"/>
      <c r="B45" s="83"/>
      <c r="C45" s="83"/>
      <c r="D45" s="83"/>
      <c r="E45" s="83"/>
      <c r="F45" s="83"/>
      <c r="G45" s="14"/>
      <c r="H45" s="14"/>
      <c r="I45" s="881" t="s">
        <v>13</v>
      </c>
      <c r="J45" s="881"/>
      <c r="K45" s="83"/>
      <c r="L45" s="14"/>
    </row>
    <row r="46" spans="1:12" ht="12.75" customHeight="1">
      <c r="A46" s="83"/>
      <c r="B46" s="83"/>
      <c r="C46" s="83"/>
      <c r="D46" s="83"/>
      <c r="E46" s="83"/>
      <c r="F46" s="83"/>
      <c r="G46" s="83"/>
      <c r="H46" s="881" t="s">
        <v>14</v>
      </c>
      <c r="I46" s="881"/>
      <c r="J46" s="881"/>
      <c r="K46" s="881"/>
      <c r="L46" s="83"/>
    </row>
    <row r="47" spans="1:13" ht="12.75" customHeight="1">
      <c r="A47" s="14" t="s">
        <v>22</v>
      </c>
      <c r="B47" s="14"/>
      <c r="C47" s="14"/>
      <c r="D47" s="14"/>
      <c r="E47" s="14"/>
      <c r="F47" s="14"/>
      <c r="G47" s="881" t="s">
        <v>637</v>
      </c>
      <c r="H47" s="881"/>
      <c r="I47" s="881"/>
      <c r="J47" s="881"/>
      <c r="K47" s="881"/>
      <c r="L47" s="881"/>
      <c r="M47" s="35"/>
    </row>
    <row r="48" spans="1:12" ht="12.75">
      <c r="A48" s="14"/>
      <c r="G48" s="14"/>
      <c r="H48" s="14"/>
      <c r="I48" s="1" t="s">
        <v>84</v>
      </c>
      <c r="J48" s="1"/>
      <c r="K48" s="1"/>
      <c r="L48" s="1"/>
    </row>
    <row r="49" spans="1:12" ht="12.75">
      <c r="A49" s="970"/>
      <c r="B49" s="970"/>
      <c r="C49" s="970"/>
      <c r="D49" s="970"/>
      <c r="E49" s="970"/>
      <c r="F49" s="970"/>
      <c r="G49" s="970"/>
      <c r="H49" s="970"/>
      <c r="I49" s="970"/>
      <c r="J49" s="970"/>
      <c r="K49" s="970"/>
      <c r="L49" s="970"/>
    </row>
  </sheetData>
  <sheetProtection/>
  <mergeCells count="15">
    <mergeCell ref="I8:L8"/>
    <mergeCell ref="A49:L49"/>
    <mergeCell ref="A9:A10"/>
    <mergeCell ref="B9:B10"/>
    <mergeCell ref="C9:G9"/>
    <mergeCell ref="H9:L9"/>
    <mergeCell ref="I45:J45"/>
    <mergeCell ref="H46:K46"/>
    <mergeCell ref="G47:L47"/>
    <mergeCell ref="F7:L7"/>
    <mergeCell ref="A7:B7"/>
    <mergeCell ref="L1:M1"/>
    <mergeCell ref="A2:L2"/>
    <mergeCell ref="A3:L3"/>
    <mergeCell ref="A5:L5"/>
  </mergeCells>
  <printOptions horizontalCentered="1"/>
  <pageMargins left="0.7086614173228347" right="0.7086614173228347" top="0.52" bottom="0" header="0.52" footer="0.31496062992125984"/>
  <pageSetup fitToHeight="1" fitToWidth="1" horizontalDpi="600" verticalDpi="600" orientation="landscape" paperSize="9" scale="75" r:id="rId2"/>
  <rowBreaks count="1" manualBreakCount="1">
    <brk id="48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Q48"/>
  <sheetViews>
    <sheetView view="pageBreakPreview" zoomScaleSheetLayoutView="100" zoomScalePageLayoutView="0" workbookViewId="0" topLeftCell="E12">
      <selection activeCell="N13" sqref="N13:Q40"/>
    </sheetView>
  </sheetViews>
  <sheetFormatPr defaultColWidth="9.140625" defaultRowHeight="12.75"/>
  <cols>
    <col min="1" max="1" width="5.7109375" style="135" customWidth="1"/>
    <col min="2" max="2" width="12.421875" style="135" customWidth="1"/>
    <col min="3" max="3" width="13.00390625" style="135" customWidth="1"/>
    <col min="4" max="4" width="12.00390625" style="135" customWidth="1"/>
    <col min="5" max="5" width="12.421875" style="135" customWidth="1"/>
    <col min="6" max="6" width="12.7109375" style="135" customWidth="1"/>
    <col min="7" max="7" width="13.140625" style="135" customWidth="1"/>
    <col min="8" max="8" width="12.7109375" style="135" customWidth="1"/>
    <col min="9" max="9" width="12.140625" style="135" customWidth="1"/>
    <col min="10" max="10" width="12.140625" style="227" customWidth="1"/>
    <col min="11" max="11" width="16.57421875" style="135" customWidth="1"/>
    <col min="12" max="12" width="13.140625" style="135" customWidth="1"/>
    <col min="13" max="13" width="12.7109375" style="135" customWidth="1"/>
    <col min="14" max="16384" width="9.140625" style="135" customWidth="1"/>
  </cols>
  <sheetData>
    <row r="1" spans="11:13" ht="12.75">
      <c r="K1" s="900" t="s">
        <v>225</v>
      </c>
      <c r="L1" s="900"/>
      <c r="M1" s="900"/>
    </row>
    <row r="2" ht="12.75" customHeight="1"/>
    <row r="3" spans="2:11" ht="15.75">
      <c r="B3" s="983" t="s">
        <v>0</v>
      </c>
      <c r="C3" s="983"/>
      <c r="D3" s="983"/>
      <c r="E3" s="983"/>
      <c r="F3" s="983"/>
      <c r="G3" s="983"/>
      <c r="H3" s="983"/>
      <c r="I3" s="983"/>
      <c r="J3" s="983"/>
      <c r="K3" s="983"/>
    </row>
    <row r="4" spans="2:11" ht="20.25">
      <c r="B4" s="984" t="s">
        <v>859</v>
      </c>
      <c r="C4" s="984"/>
      <c r="D4" s="984"/>
      <c r="E4" s="984"/>
      <c r="F4" s="984"/>
      <c r="G4" s="984"/>
      <c r="H4" s="984"/>
      <c r="I4" s="984"/>
      <c r="J4" s="984"/>
      <c r="K4" s="984"/>
    </row>
    <row r="5" ht="10.5" customHeight="1"/>
    <row r="6" spans="1:13" ht="15.75">
      <c r="A6" s="990" t="s">
        <v>945</v>
      </c>
      <c r="B6" s="990"/>
      <c r="C6" s="990"/>
      <c r="D6" s="990"/>
      <c r="E6" s="990"/>
      <c r="F6" s="990"/>
      <c r="G6" s="990"/>
      <c r="H6" s="990"/>
      <c r="I6" s="990"/>
      <c r="J6" s="990"/>
      <c r="K6" s="990"/>
      <c r="L6" s="990"/>
      <c r="M6" s="990"/>
    </row>
    <row r="7" spans="2:13" ht="15.75">
      <c r="B7" s="136"/>
      <c r="C7" s="136"/>
      <c r="D7" s="136"/>
      <c r="E7" s="136"/>
      <c r="F7" s="136"/>
      <c r="G7" s="136"/>
      <c r="H7" s="136"/>
      <c r="L7" s="989" t="s">
        <v>205</v>
      </c>
      <c r="M7" s="989"/>
    </row>
    <row r="8" spans="1:13" ht="15.75">
      <c r="A8" s="357" t="s">
        <v>634</v>
      </c>
      <c r="C8" s="136"/>
      <c r="D8" s="136"/>
      <c r="E8" s="136"/>
      <c r="F8" s="136"/>
      <c r="G8" s="961" t="s">
        <v>946</v>
      </c>
      <c r="H8" s="961"/>
      <c r="I8" s="961"/>
      <c r="J8" s="961"/>
      <c r="K8" s="961"/>
      <c r="L8" s="961"/>
      <c r="M8" s="961"/>
    </row>
    <row r="9" spans="1:13" ht="15.75" customHeight="1">
      <c r="A9" s="991" t="s">
        <v>24</v>
      </c>
      <c r="B9" s="994" t="s">
        <v>3</v>
      </c>
      <c r="C9" s="985" t="s">
        <v>947</v>
      </c>
      <c r="D9" s="985" t="s">
        <v>943</v>
      </c>
      <c r="E9" s="985" t="s">
        <v>240</v>
      </c>
      <c r="F9" s="985" t="s">
        <v>239</v>
      </c>
      <c r="G9" s="985"/>
      <c r="H9" s="985" t="s">
        <v>202</v>
      </c>
      <c r="I9" s="985"/>
      <c r="J9" s="986" t="s">
        <v>435</v>
      </c>
      <c r="K9" s="985" t="s">
        <v>204</v>
      </c>
      <c r="L9" s="985" t="s">
        <v>411</v>
      </c>
      <c r="M9" s="985" t="s">
        <v>258</v>
      </c>
    </row>
    <row r="10" spans="1:13" ht="12.75">
      <c r="A10" s="992"/>
      <c r="B10" s="994"/>
      <c r="C10" s="985"/>
      <c r="D10" s="985"/>
      <c r="E10" s="985"/>
      <c r="F10" s="985"/>
      <c r="G10" s="985"/>
      <c r="H10" s="985"/>
      <c r="I10" s="985"/>
      <c r="J10" s="987"/>
      <c r="K10" s="985"/>
      <c r="L10" s="985"/>
      <c r="M10" s="985"/>
    </row>
    <row r="11" spans="1:13" ht="27" customHeight="1">
      <c r="A11" s="993"/>
      <c r="B11" s="994"/>
      <c r="C11" s="985"/>
      <c r="D11" s="985"/>
      <c r="E11" s="985"/>
      <c r="F11" s="137" t="s">
        <v>203</v>
      </c>
      <c r="G11" s="137" t="s">
        <v>259</v>
      </c>
      <c r="H11" s="137" t="s">
        <v>203</v>
      </c>
      <c r="I11" s="137" t="s">
        <v>259</v>
      </c>
      <c r="J11" s="988"/>
      <c r="K11" s="985"/>
      <c r="L11" s="985"/>
      <c r="M11" s="985"/>
    </row>
    <row r="12" spans="1:13" ht="12.75">
      <c r="A12" s="142">
        <v>1</v>
      </c>
      <c r="B12" s="142">
        <v>2</v>
      </c>
      <c r="C12" s="142">
        <v>3</v>
      </c>
      <c r="D12" s="142">
        <v>4</v>
      </c>
      <c r="E12" s="142">
        <v>5</v>
      </c>
      <c r="F12" s="142">
        <v>6</v>
      </c>
      <c r="G12" s="142">
        <v>7</v>
      </c>
      <c r="H12" s="142">
        <v>8</v>
      </c>
      <c r="I12" s="142">
        <v>9</v>
      </c>
      <c r="J12" s="142">
        <v>10</v>
      </c>
      <c r="K12" s="159">
        <v>11</v>
      </c>
      <c r="L12" s="159">
        <v>12</v>
      </c>
      <c r="M12" s="159">
        <v>13</v>
      </c>
    </row>
    <row r="13" spans="1:16" ht="12.75">
      <c r="A13" s="581">
        <v>1</v>
      </c>
      <c r="B13" s="586" t="s">
        <v>898</v>
      </c>
      <c r="C13" s="319">
        <f>ROUND(('AT6_FG_py_Utlsn'!C12-'AT6_FG_py_Utlsn'!D12)*3000/100000+('AT6A_FG_Upy_Utlsn '!C12-'AT6A_FG_Upy_Utlsn '!D12)*3000/100000,2)</f>
        <v>73.77</v>
      </c>
      <c r="D13" s="319">
        <v>8.26</v>
      </c>
      <c r="E13" s="319">
        <f>C13-D13</f>
        <v>65.50999999999999</v>
      </c>
      <c r="F13" s="319">
        <f>('AT6_FG_py_Utlsn'!E12+'AT6A_FG_Upy_Utlsn '!E12)</f>
        <v>2276.062846540336</v>
      </c>
      <c r="G13" s="319">
        <f>F13*3000/100000</f>
        <v>68.28188539621009</v>
      </c>
      <c r="H13" s="319">
        <f>F13</f>
        <v>2276.062846540336</v>
      </c>
      <c r="I13" s="319">
        <f>G13</f>
        <v>68.28188539621009</v>
      </c>
      <c r="J13" s="228"/>
      <c r="K13" s="319">
        <f>D13+E13-I13</f>
        <v>5.48811460378991</v>
      </c>
      <c r="L13" s="159"/>
      <c r="M13" s="159"/>
      <c r="N13" s="373"/>
      <c r="O13" s="373"/>
      <c r="P13" s="373"/>
    </row>
    <row r="14" spans="1:16" ht="12.75">
      <c r="A14" s="581">
        <v>2</v>
      </c>
      <c r="B14" s="586" t="s">
        <v>899</v>
      </c>
      <c r="C14" s="319">
        <f>ROUND(('AT6_FG_py_Utlsn'!C13-'AT6_FG_py_Utlsn'!D13)*3000/100000+('AT6A_FG_Upy_Utlsn '!C13-'AT6A_FG_Upy_Utlsn '!D13)*3000/100000,2)</f>
        <v>83.41</v>
      </c>
      <c r="D14" s="319">
        <v>9.58</v>
      </c>
      <c r="E14" s="319">
        <f aca="true" t="shared" si="0" ref="E14:E39">C14-D14</f>
        <v>73.83</v>
      </c>
      <c r="F14" s="319">
        <f>('AT6_FG_py_Utlsn'!E13+'AT6A_FG_Upy_Utlsn '!E13)</f>
        <v>2582.7236646124966</v>
      </c>
      <c r="G14" s="319">
        <f aca="true" t="shared" si="1" ref="G14:G39">F14*3000/100000</f>
        <v>77.48170993837489</v>
      </c>
      <c r="H14" s="319">
        <f aca="true" t="shared" si="2" ref="H14:H39">F14</f>
        <v>2582.7236646124966</v>
      </c>
      <c r="I14" s="319">
        <f aca="true" t="shared" si="3" ref="I14:I39">G14</f>
        <v>77.48170993837489</v>
      </c>
      <c r="J14" s="228"/>
      <c r="K14" s="319">
        <f aca="true" t="shared" si="4" ref="K14:K39">D14+E14-I14</f>
        <v>5.9282900616251055</v>
      </c>
      <c r="L14" s="159"/>
      <c r="M14" s="159"/>
      <c r="N14" s="373"/>
      <c r="O14" s="373"/>
      <c r="P14" s="373"/>
    </row>
    <row r="15" spans="1:16" ht="12.75">
      <c r="A15" s="581">
        <v>3</v>
      </c>
      <c r="B15" s="586" t="s">
        <v>839</v>
      </c>
      <c r="C15" s="319">
        <f>ROUND(('AT6_FG_py_Utlsn'!C14-'AT6_FG_py_Utlsn'!D14)*3000/100000+('AT6A_FG_Upy_Utlsn '!C14-'AT6A_FG_Upy_Utlsn '!D14)*3000/100000,2)</f>
        <v>70.13</v>
      </c>
      <c r="D15" s="319">
        <v>7.85</v>
      </c>
      <c r="E15" s="319">
        <f t="shared" si="0"/>
        <v>62.279999999999994</v>
      </c>
      <c r="F15" s="319">
        <f>('AT6_FG_py_Utlsn'!E14+'AT6A_FG_Upy_Utlsn '!E14)</f>
        <v>2096.559917280324</v>
      </c>
      <c r="G15" s="319">
        <f t="shared" si="1"/>
        <v>62.89679751840972</v>
      </c>
      <c r="H15" s="319">
        <f t="shared" si="2"/>
        <v>2096.559917280324</v>
      </c>
      <c r="I15" s="319">
        <f t="shared" si="3"/>
        <v>62.89679751840972</v>
      </c>
      <c r="J15" s="228"/>
      <c r="K15" s="319">
        <f t="shared" si="4"/>
        <v>7.233202481590276</v>
      </c>
      <c r="L15" s="159"/>
      <c r="M15" s="159"/>
      <c r="N15" s="373"/>
      <c r="O15" s="373"/>
      <c r="P15" s="373"/>
    </row>
    <row r="16" spans="1:16" ht="12.75">
      <c r="A16" s="581">
        <v>4</v>
      </c>
      <c r="B16" s="586" t="s">
        <v>743</v>
      </c>
      <c r="C16" s="319">
        <f>ROUND(('AT6_FG_py_Utlsn'!C15-'AT6_FG_py_Utlsn'!D15)*3000/100000+('AT6A_FG_Upy_Utlsn '!C15-'AT6A_FG_Upy_Utlsn '!D15)*3000/100000,2)</f>
        <v>225.25</v>
      </c>
      <c r="D16" s="319">
        <v>25.96</v>
      </c>
      <c r="E16" s="319">
        <f t="shared" si="0"/>
        <v>199.29</v>
      </c>
      <c r="F16" s="319">
        <f>('AT6_FG_py_Utlsn'!E15+'AT6A_FG_Upy_Utlsn '!E15)</f>
        <v>5780.885898051212</v>
      </c>
      <c r="G16" s="319">
        <f t="shared" si="1"/>
        <v>173.42657694153635</v>
      </c>
      <c r="H16" s="319">
        <f t="shared" si="2"/>
        <v>5780.885898051212</v>
      </c>
      <c r="I16" s="319">
        <f t="shared" si="3"/>
        <v>173.42657694153635</v>
      </c>
      <c r="J16" s="228"/>
      <c r="K16" s="319">
        <f t="shared" si="4"/>
        <v>51.823423058463646</v>
      </c>
      <c r="L16" s="159"/>
      <c r="M16" s="159"/>
      <c r="N16" s="373"/>
      <c r="O16" s="373"/>
      <c r="P16" s="373"/>
    </row>
    <row r="17" spans="1:16" ht="12.75">
      <c r="A17" s="581">
        <v>5</v>
      </c>
      <c r="B17" s="586" t="s">
        <v>748</v>
      </c>
      <c r="C17" s="319">
        <f>ROUND(('AT6_FG_py_Utlsn'!C16-'AT6_FG_py_Utlsn'!D16)*3000/100000+('AT6A_FG_Upy_Utlsn '!C16-'AT6A_FG_Upy_Utlsn '!D16)*3000/100000,2)</f>
        <v>134.83</v>
      </c>
      <c r="D17" s="319">
        <v>15.14</v>
      </c>
      <c r="E17" s="319">
        <f t="shared" si="0"/>
        <v>119.69000000000001</v>
      </c>
      <c r="F17" s="319">
        <f>('AT6_FG_py_Utlsn'!E16+'AT6A_FG_Upy_Utlsn '!E16)</f>
        <v>3631.1162142352223</v>
      </c>
      <c r="G17" s="319">
        <f t="shared" si="1"/>
        <v>108.93348642705668</v>
      </c>
      <c r="H17" s="319">
        <f t="shared" si="2"/>
        <v>3631.1162142352223</v>
      </c>
      <c r="I17" s="319">
        <f t="shared" si="3"/>
        <v>108.93348642705668</v>
      </c>
      <c r="J17" s="228"/>
      <c r="K17" s="319">
        <f t="shared" si="4"/>
        <v>25.896513572943334</v>
      </c>
      <c r="L17" s="159"/>
      <c r="M17" s="159"/>
      <c r="N17" s="373"/>
      <c r="O17" s="373"/>
      <c r="P17" s="373"/>
    </row>
    <row r="18" spans="1:16" ht="12.75">
      <c r="A18" s="581">
        <v>6</v>
      </c>
      <c r="B18" s="586" t="s">
        <v>747</v>
      </c>
      <c r="C18" s="319">
        <f>ROUND(('AT6_FG_py_Utlsn'!C17-'AT6_FG_py_Utlsn'!D17)*3000/100000+('AT6A_FG_Upy_Utlsn '!C17-'AT6A_FG_Upy_Utlsn '!D17)*3000/100000,2)</f>
        <v>186.19</v>
      </c>
      <c r="D18" s="319">
        <v>20.89</v>
      </c>
      <c r="E18" s="319">
        <f t="shared" si="0"/>
        <v>165.3</v>
      </c>
      <c r="F18" s="319">
        <f>('AT6_FG_py_Utlsn'!E17+'AT6A_FG_Upy_Utlsn '!E17)</f>
        <v>5048.180396095293</v>
      </c>
      <c r="G18" s="319">
        <f t="shared" si="1"/>
        <v>151.4454118828588</v>
      </c>
      <c r="H18" s="319">
        <f t="shared" si="2"/>
        <v>5048.180396095293</v>
      </c>
      <c r="I18" s="319">
        <f t="shared" si="3"/>
        <v>151.4454118828588</v>
      </c>
      <c r="J18" s="228"/>
      <c r="K18" s="319">
        <f t="shared" si="4"/>
        <v>34.744588117141205</v>
      </c>
      <c r="L18" s="159"/>
      <c r="M18" s="159"/>
      <c r="N18" s="373"/>
      <c r="O18" s="373"/>
      <c r="P18" s="373"/>
    </row>
    <row r="19" spans="1:16" ht="12.75">
      <c r="A19" s="581">
        <v>7</v>
      </c>
      <c r="B19" s="586" t="s">
        <v>737</v>
      </c>
      <c r="C19" s="319">
        <f>ROUND(('AT6_FG_py_Utlsn'!C18-'AT6_FG_py_Utlsn'!D18)*3000/100000+('AT6A_FG_Upy_Utlsn '!C18-'AT6A_FG_Upy_Utlsn '!D18)*3000/100000,2)</f>
        <v>108.93</v>
      </c>
      <c r="D19" s="319">
        <v>12.24</v>
      </c>
      <c r="E19" s="319">
        <f t="shared" si="0"/>
        <v>96.69000000000001</v>
      </c>
      <c r="F19" s="319">
        <f>('AT6_FG_py_Utlsn'!E18+'AT6A_FG_Upy_Utlsn '!E18)</f>
        <v>2833.9406625774573</v>
      </c>
      <c r="G19" s="319">
        <f t="shared" si="1"/>
        <v>85.01821987732372</v>
      </c>
      <c r="H19" s="319">
        <f t="shared" si="2"/>
        <v>2833.9406625774573</v>
      </c>
      <c r="I19" s="319">
        <f t="shared" si="3"/>
        <v>85.01821987732372</v>
      </c>
      <c r="J19" s="228"/>
      <c r="K19" s="319">
        <f t="shared" si="4"/>
        <v>23.91178012267629</v>
      </c>
      <c r="L19" s="159"/>
      <c r="M19" s="159"/>
      <c r="N19" s="373"/>
      <c r="O19" s="373"/>
      <c r="P19" s="373"/>
    </row>
    <row r="20" spans="1:16" ht="12.75">
      <c r="A20" s="581">
        <v>8</v>
      </c>
      <c r="B20" s="586" t="s">
        <v>749</v>
      </c>
      <c r="C20" s="319">
        <f>ROUND(('AT6_FG_py_Utlsn'!C19-'AT6_FG_py_Utlsn'!D19)*3000/100000+('AT6A_FG_Upy_Utlsn '!C19-'AT6A_FG_Upy_Utlsn '!D19)*3000/100000,2)</f>
        <v>167.04</v>
      </c>
      <c r="D20" s="319">
        <v>18.7</v>
      </c>
      <c r="E20" s="319">
        <f t="shared" si="0"/>
        <v>148.34</v>
      </c>
      <c r="F20" s="319">
        <f>('AT6_FG_py_Utlsn'!E19+'AT6A_FG_Upy_Utlsn '!E19)</f>
        <v>4360.345010075973</v>
      </c>
      <c r="G20" s="319">
        <f t="shared" si="1"/>
        <v>130.81035030227918</v>
      </c>
      <c r="H20" s="319">
        <f t="shared" si="2"/>
        <v>4360.345010075973</v>
      </c>
      <c r="I20" s="319">
        <f t="shared" si="3"/>
        <v>130.81035030227918</v>
      </c>
      <c r="J20" s="228"/>
      <c r="K20" s="319">
        <f t="shared" si="4"/>
        <v>36.22964969772082</v>
      </c>
      <c r="L20" s="159"/>
      <c r="M20" s="159"/>
      <c r="N20" s="373"/>
      <c r="O20" s="373"/>
      <c r="P20" s="373"/>
    </row>
    <row r="21" spans="1:16" ht="12.75">
      <c r="A21" s="581">
        <v>9</v>
      </c>
      <c r="B21" s="586" t="s">
        <v>834</v>
      </c>
      <c r="C21" s="319">
        <f>ROUND(('AT6_FG_py_Utlsn'!C20-'AT6_FG_py_Utlsn'!D20)*3000/100000+('AT6A_FG_Upy_Utlsn '!C20-'AT6A_FG_Upy_Utlsn '!D20)*3000/100000,2)</f>
        <v>79.99</v>
      </c>
      <c r="D21" s="319">
        <v>9.03</v>
      </c>
      <c r="E21" s="319">
        <f t="shared" si="0"/>
        <v>70.96</v>
      </c>
      <c r="F21" s="319">
        <f>('AT6_FG_py_Utlsn'!E20+'AT6A_FG_Upy_Utlsn '!E20)</f>
        <v>2445.7446423544975</v>
      </c>
      <c r="G21" s="319">
        <f t="shared" si="1"/>
        <v>73.37233927063492</v>
      </c>
      <c r="H21" s="319">
        <f t="shared" si="2"/>
        <v>2445.7446423544975</v>
      </c>
      <c r="I21" s="319">
        <f t="shared" si="3"/>
        <v>73.37233927063492</v>
      </c>
      <c r="J21" s="228"/>
      <c r="K21" s="319">
        <f t="shared" si="4"/>
        <v>6.61766072936507</v>
      </c>
      <c r="L21" s="159"/>
      <c r="M21" s="159"/>
      <c r="N21" s="373"/>
      <c r="O21" s="373"/>
      <c r="P21" s="373"/>
    </row>
    <row r="22" spans="1:16" ht="12.75">
      <c r="A22" s="581">
        <v>10</v>
      </c>
      <c r="B22" s="586" t="s">
        <v>739</v>
      </c>
      <c r="C22" s="319">
        <f>ROUND(('AT6_FG_py_Utlsn'!C21-'AT6_FG_py_Utlsn'!D21)*3000/100000+('AT6A_FG_Upy_Utlsn '!C21-'AT6A_FG_Upy_Utlsn '!D21)*3000/100000,2)</f>
        <v>21.37</v>
      </c>
      <c r="D22" s="319">
        <v>2.39</v>
      </c>
      <c r="E22" s="319">
        <f t="shared" si="0"/>
        <v>18.98</v>
      </c>
      <c r="F22" s="319">
        <f>('AT6_FG_py_Utlsn'!E21+'AT6A_FG_Upy_Utlsn '!E21)</f>
        <v>632.4175803850233</v>
      </c>
      <c r="G22" s="319">
        <f t="shared" si="1"/>
        <v>18.972527411550697</v>
      </c>
      <c r="H22" s="319">
        <f t="shared" si="2"/>
        <v>632.4175803850233</v>
      </c>
      <c r="I22" s="319">
        <f t="shared" si="3"/>
        <v>18.972527411550697</v>
      </c>
      <c r="J22" s="228"/>
      <c r="K22" s="319">
        <f t="shared" si="4"/>
        <v>2.397472588449304</v>
      </c>
      <c r="L22" s="159"/>
      <c r="M22" s="159"/>
      <c r="N22" s="373"/>
      <c r="O22" s="373"/>
      <c r="P22" s="373"/>
    </row>
    <row r="23" spans="1:16" ht="12.75">
      <c r="A23" s="581">
        <v>11</v>
      </c>
      <c r="B23" s="586" t="s">
        <v>900</v>
      </c>
      <c r="C23" s="319">
        <f>ROUND(('AT6_FG_py_Utlsn'!C22-'AT6_FG_py_Utlsn'!D22)*3000/100000+('AT6A_FG_Upy_Utlsn '!C22-'AT6A_FG_Upy_Utlsn '!D22)*3000/100000,2)</f>
        <v>26.92</v>
      </c>
      <c r="D23" s="319">
        <v>2.94</v>
      </c>
      <c r="E23" s="319">
        <f t="shared" si="0"/>
        <v>23.98</v>
      </c>
      <c r="F23" s="319">
        <f>('AT6_FG_py_Utlsn'!E22+'AT6A_FG_Upy_Utlsn '!E22)</f>
        <v>756.1535761719473</v>
      </c>
      <c r="G23" s="319">
        <f t="shared" si="1"/>
        <v>22.68460728515842</v>
      </c>
      <c r="H23" s="319">
        <f t="shared" si="2"/>
        <v>756.1535761719473</v>
      </c>
      <c r="I23" s="319">
        <f t="shared" si="3"/>
        <v>22.68460728515842</v>
      </c>
      <c r="J23" s="228"/>
      <c r="K23" s="319">
        <f t="shared" si="4"/>
        <v>4.235392714841581</v>
      </c>
      <c r="L23" s="159"/>
      <c r="M23" s="159"/>
      <c r="N23" s="373"/>
      <c r="O23" s="373"/>
      <c r="P23" s="373"/>
    </row>
    <row r="24" spans="1:16" ht="12.75">
      <c r="A24" s="581">
        <v>12</v>
      </c>
      <c r="B24" s="586" t="s">
        <v>731</v>
      </c>
      <c r="C24" s="319">
        <f>ROUND(('AT6_FG_py_Utlsn'!C23-'AT6_FG_py_Utlsn'!D23)*3000/100000+('AT6A_FG_Upy_Utlsn '!C23-'AT6A_FG_Upy_Utlsn '!D23)*3000/100000,2)</f>
        <v>80.93</v>
      </c>
      <c r="D24" s="319">
        <v>8.94</v>
      </c>
      <c r="E24" s="319">
        <f t="shared" si="0"/>
        <v>71.99000000000001</v>
      </c>
      <c r="F24" s="319">
        <f>('AT6_FG_py_Utlsn'!E23+'AT6A_FG_Upy_Utlsn '!E23)</f>
        <v>2255.55908413279</v>
      </c>
      <c r="G24" s="319">
        <f t="shared" si="1"/>
        <v>67.6667725239837</v>
      </c>
      <c r="H24" s="319">
        <f t="shared" si="2"/>
        <v>2255.55908413279</v>
      </c>
      <c r="I24" s="319">
        <f t="shared" si="3"/>
        <v>67.6667725239837</v>
      </c>
      <c r="J24" s="228"/>
      <c r="K24" s="319">
        <f t="shared" si="4"/>
        <v>13.263227476016311</v>
      </c>
      <c r="L24" s="159"/>
      <c r="M24" s="159"/>
      <c r="N24" s="373"/>
      <c r="O24" s="373"/>
      <c r="P24" s="373"/>
    </row>
    <row r="25" spans="1:16" ht="12.75">
      <c r="A25" s="581">
        <v>13</v>
      </c>
      <c r="B25" s="586" t="s">
        <v>742</v>
      </c>
      <c r="C25" s="319">
        <f>ROUND(('AT6_FG_py_Utlsn'!C24-'AT6_FG_py_Utlsn'!D24)*3000/100000+('AT6A_FG_Upy_Utlsn '!C24-'AT6A_FG_Upy_Utlsn '!D24)*3000/100000,2)</f>
        <v>86.65</v>
      </c>
      <c r="D25" s="319">
        <v>4</v>
      </c>
      <c r="E25" s="319">
        <f t="shared" si="0"/>
        <v>82.65</v>
      </c>
      <c r="F25" s="319">
        <f>('AT6_FG_py_Utlsn'!E24+'AT6A_FG_Upy_Utlsn '!E24)</f>
        <v>2519.9222488000855</v>
      </c>
      <c r="G25" s="319">
        <f t="shared" si="1"/>
        <v>75.59766746400257</v>
      </c>
      <c r="H25" s="319">
        <f t="shared" si="2"/>
        <v>2519.9222488000855</v>
      </c>
      <c r="I25" s="319">
        <f t="shared" si="3"/>
        <v>75.59766746400257</v>
      </c>
      <c r="J25" s="228"/>
      <c r="K25" s="319">
        <f t="shared" si="4"/>
        <v>11.052332535997436</v>
      </c>
      <c r="L25" s="159"/>
      <c r="M25" s="159"/>
      <c r="N25" s="373"/>
      <c r="O25" s="373"/>
      <c r="P25" s="373"/>
    </row>
    <row r="26" spans="1:16" ht="12.75">
      <c r="A26" s="581">
        <v>14</v>
      </c>
      <c r="B26" s="586" t="s">
        <v>740</v>
      </c>
      <c r="C26" s="319">
        <f>ROUND(('AT6_FG_py_Utlsn'!C25-'AT6_FG_py_Utlsn'!D25)*3000/100000+('AT6A_FG_Upy_Utlsn '!C25-'AT6A_FG_Upy_Utlsn '!D25)*3000/100000,2)</f>
        <v>106.26</v>
      </c>
      <c r="D26" s="319">
        <v>12.97</v>
      </c>
      <c r="E26" s="319">
        <f t="shared" si="0"/>
        <v>93.29</v>
      </c>
      <c r="F26" s="319">
        <f>('AT6_FG_py_Utlsn'!E25+'AT6A_FG_Upy_Utlsn '!E25)</f>
        <v>2944.121061044044</v>
      </c>
      <c r="G26" s="319">
        <f t="shared" si="1"/>
        <v>88.32363183132132</v>
      </c>
      <c r="H26" s="319">
        <f t="shared" si="2"/>
        <v>2944.121061044044</v>
      </c>
      <c r="I26" s="319">
        <f t="shared" si="3"/>
        <v>88.32363183132132</v>
      </c>
      <c r="J26" s="228"/>
      <c r="K26" s="319">
        <f t="shared" si="4"/>
        <v>17.936368168678683</v>
      </c>
      <c r="L26" s="159"/>
      <c r="M26" s="159"/>
      <c r="N26" s="373"/>
      <c r="O26" s="373"/>
      <c r="P26" s="373"/>
    </row>
    <row r="27" spans="1:16" ht="12.75">
      <c r="A27" s="581">
        <v>15</v>
      </c>
      <c r="B27" s="586" t="s">
        <v>734</v>
      </c>
      <c r="C27" s="319">
        <f>ROUND(('AT6_FG_py_Utlsn'!C26-'AT6_FG_py_Utlsn'!D26)*3000/100000+('AT6A_FG_Upy_Utlsn '!C26-'AT6A_FG_Upy_Utlsn '!D26)*3000/100000,2)</f>
        <v>70.67</v>
      </c>
      <c r="D27" s="319">
        <v>4</v>
      </c>
      <c r="E27" s="319">
        <f t="shared" si="0"/>
        <v>66.67</v>
      </c>
      <c r="F27" s="319">
        <f>('AT6_FG_py_Utlsn'!E26+'AT6A_FG_Upy_Utlsn '!E26)</f>
        <v>2047.0280687814734</v>
      </c>
      <c r="G27" s="319">
        <f t="shared" si="1"/>
        <v>61.4108420634442</v>
      </c>
      <c r="H27" s="319">
        <f t="shared" si="2"/>
        <v>2047.0280687814734</v>
      </c>
      <c r="I27" s="319">
        <f t="shared" si="3"/>
        <v>61.4108420634442</v>
      </c>
      <c r="J27" s="228"/>
      <c r="K27" s="319">
        <f t="shared" si="4"/>
        <v>9.259157936555802</v>
      </c>
      <c r="L27" s="159"/>
      <c r="M27" s="159"/>
      <c r="N27" s="373"/>
      <c r="O27" s="373"/>
      <c r="P27" s="373"/>
    </row>
    <row r="28" spans="1:16" ht="12.75">
      <c r="A28" s="581">
        <v>16</v>
      </c>
      <c r="B28" s="586" t="s">
        <v>741</v>
      </c>
      <c r="C28" s="319">
        <f>ROUND(('AT6_FG_py_Utlsn'!C27-'AT6_FG_py_Utlsn'!D27)*3000/100000+('AT6A_FG_Upy_Utlsn '!C27-'AT6A_FG_Upy_Utlsn '!D27)*3000/100000,2)</f>
        <v>169.57</v>
      </c>
      <c r="D28" s="319">
        <v>20.64</v>
      </c>
      <c r="E28" s="319">
        <f t="shared" si="0"/>
        <v>148.93</v>
      </c>
      <c r="F28" s="319">
        <f>('AT6_FG_py_Utlsn'!E27+'AT6A_FG_Upy_Utlsn '!E27)</f>
        <v>4938.140821297224</v>
      </c>
      <c r="G28" s="319">
        <f t="shared" si="1"/>
        <v>148.1442246389167</v>
      </c>
      <c r="H28" s="319">
        <f t="shared" si="2"/>
        <v>4938.140821297224</v>
      </c>
      <c r="I28" s="319">
        <f t="shared" si="3"/>
        <v>148.1442246389167</v>
      </c>
      <c r="J28" s="228"/>
      <c r="K28" s="319">
        <f t="shared" si="4"/>
        <v>21.425775361083282</v>
      </c>
      <c r="L28" s="159"/>
      <c r="M28" s="159"/>
      <c r="N28" s="373"/>
      <c r="O28" s="373"/>
      <c r="P28" s="373"/>
    </row>
    <row r="29" spans="1:16" ht="12.75">
      <c r="A29" s="581">
        <v>17</v>
      </c>
      <c r="B29" s="586" t="s">
        <v>733</v>
      </c>
      <c r="C29" s="319">
        <f>ROUND(('AT6_FG_py_Utlsn'!C28-'AT6_FG_py_Utlsn'!D28)*3000/100000+('AT6A_FG_Upy_Utlsn '!C28-'AT6A_FG_Upy_Utlsn '!D28)*3000/100000,2)</f>
        <v>62.24</v>
      </c>
      <c r="D29" s="319">
        <v>3</v>
      </c>
      <c r="E29" s="319">
        <f t="shared" si="0"/>
        <v>59.24</v>
      </c>
      <c r="F29" s="319">
        <f>('AT6_FG_py_Utlsn'!E28+'AT6A_FG_Upy_Utlsn '!E28)</f>
        <v>1802.2130783422017</v>
      </c>
      <c r="G29" s="319">
        <f t="shared" si="1"/>
        <v>54.06639235026606</v>
      </c>
      <c r="H29" s="319">
        <f t="shared" si="2"/>
        <v>1802.2130783422017</v>
      </c>
      <c r="I29" s="319">
        <f t="shared" si="3"/>
        <v>54.06639235026606</v>
      </c>
      <c r="J29" s="228"/>
      <c r="K29" s="319">
        <f t="shared" si="4"/>
        <v>8.173607649733945</v>
      </c>
      <c r="L29" s="159"/>
      <c r="M29" s="159"/>
      <c r="N29" s="373"/>
      <c r="O29" s="373"/>
      <c r="P29" s="373"/>
    </row>
    <row r="30" spans="1:16" ht="15.75">
      <c r="A30" s="581">
        <v>18</v>
      </c>
      <c r="B30" s="586" t="s">
        <v>735</v>
      </c>
      <c r="C30" s="319">
        <f>ROUND(('AT6_FG_py_Utlsn'!C29-'AT6_FG_py_Utlsn'!D29)*3000/100000+('AT6A_FG_Upy_Utlsn '!C29-'AT6A_FG_Upy_Utlsn '!D29)*3000/100000,2)</f>
        <v>141.86</v>
      </c>
      <c r="D30" s="319">
        <v>17.04</v>
      </c>
      <c r="E30" s="319">
        <f t="shared" si="0"/>
        <v>124.82000000000002</v>
      </c>
      <c r="F30" s="319">
        <f>('AT6_FG_py_Utlsn'!E29+'AT6A_FG_Upy_Utlsn '!E29)</f>
        <v>4160.667010556523</v>
      </c>
      <c r="G30" s="319">
        <f t="shared" si="1"/>
        <v>124.82001031669569</v>
      </c>
      <c r="H30" s="319">
        <f t="shared" si="2"/>
        <v>4160.667010556523</v>
      </c>
      <c r="I30" s="319">
        <f t="shared" si="3"/>
        <v>124.82001031669569</v>
      </c>
      <c r="J30" s="229"/>
      <c r="K30" s="319">
        <f t="shared" si="4"/>
        <v>17.039989683304327</v>
      </c>
      <c r="L30" s="138"/>
      <c r="M30" s="138"/>
      <c r="N30" s="373"/>
      <c r="O30" s="373"/>
      <c r="P30" s="373"/>
    </row>
    <row r="31" spans="1:16" ht="15.75">
      <c r="A31" s="581">
        <v>19</v>
      </c>
      <c r="B31" s="586" t="s">
        <v>732</v>
      </c>
      <c r="C31" s="319">
        <f>ROUND(('AT6_FG_py_Utlsn'!C30-'AT6_FG_py_Utlsn'!D30)*3000/100000+('AT6A_FG_Upy_Utlsn '!C30-'AT6A_FG_Upy_Utlsn '!D30)*3000/100000,2)</f>
        <v>97.42</v>
      </c>
      <c r="D31" s="319">
        <v>11.03</v>
      </c>
      <c r="E31" s="319">
        <f t="shared" si="0"/>
        <v>86.39</v>
      </c>
      <c r="F31" s="319">
        <f>('AT6_FG_py_Utlsn'!E30+'AT6A_FG_Upy_Utlsn '!E30)</f>
        <v>2903.9972855912993</v>
      </c>
      <c r="G31" s="319">
        <f t="shared" si="1"/>
        <v>87.11991856773898</v>
      </c>
      <c r="H31" s="319">
        <f t="shared" si="2"/>
        <v>2903.9972855912993</v>
      </c>
      <c r="I31" s="319">
        <f t="shared" si="3"/>
        <v>87.11991856773898</v>
      </c>
      <c r="J31" s="229"/>
      <c r="K31" s="319">
        <f t="shared" si="4"/>
        <v>10.300081432261024</v>
      </c>
      <c r="L31" s="138"/>
      <c r="M31" s="138"/>
      <c r="N31" s="373"/>
      <c r="O31" s="373"/>
      <c r="P31" s="373"/>
    </row>
    <row r="32" spans="1:16" ht="15.75">
      <c r="A32" s="581">
        <v>20</v>
      </c>
      <c r="B32" s="586" t="s">
        <v>836</v>
      </c>
      <c r="C32" s="319">
        <f>ROUND(('AT6_FG_py_Utlsn'!C31-'AT6_FG_py_Utlsn'!D31)*3000/100000+('AT6A_FG_Upy_Utlsn '!C31-'AT6A_FG_Upy_Utlsn '!D31)*3000/100000,2)</f>
        <v>91.43</v>
      </c>
      <c r="D32" s="319">
        <v>9.83</v>
      </c>
      <c r="E32" s="319">
        <f t="shared" si="0"/>
        <v>81.60000000000001</v>
      </c>
      <c r="F32" s="319">
        <f>('AT6_FG_py_Utlsn'!E31+'AT6A_FG_Upy_Utlsn '!E31)</f>
        <v>2647.6284583361703</v>
      </c>
      <c r="G32" s="319">
        <f t="shared" si="1"/>
        <v>79.42885375008511</v>
      </c>
      <c r="H32" s="319">
        <f t="shared" si="2"/>
        <v>2647.6284583361703</v>
      </c>
      <c r="I32" s="319">
        <f t="shared" si="3"/>
        <v>79.42885375008511</v>
      </c>
      <c r="J32" s="229"/>
      <c r="K32" s="319">
        <f t="shared" si="4"/>
        <v>12.001146249914896</v>
      </c>
      <c r="L32" s="138"/>
      <c r="M32" s="138"/>
      <c r="N32" s="373"/>
      <c r="O32" s="373"/>
      <c r="P32" s="373"/>
    </row>
    <row r="33" spans="1:16" ht="15.75">
      <c r="A33" s="581">
        <v>21</v>
      </c>
      <c r="B33" s="586" t="s">
        <v>729</v>
      </c>
      <c r="C33" s="319">
        <f>ROUND(('AT6_FG_py_Utlsn'!C32-'AT6_FG_py_Utlsn'!D32)*3000/100000+('AT6A_FG_Upy_Utlsn '!C32-'AT6A_FG_Upy_Utlsn '!D32)*3000/100000,2)</f>
        <v>116.9</v>
      </c>
      <c r="D33" s="319">
        <v>13.09</v>
      </c>
      <c r="E33" s="319">
        <f t="shared" si="0"/>
        <v>103.81</v>
      </c>
      <c r="F33" s="319">
        <f>('AT6_FG_py_Utlsn'!E32+'AT6A_FG_Upy_Utlsn '!E32)</f>
        <v>3292.24919906776</v>
      </c>
      <c r="G33" s="319">
        <f t="shared" si="1"/>
        <v>98.76747597203278</v>
      </c>
      <c r="H33" s="319">
        <f t="shared" si="2"/>
        <v>3292.24919906776</v>
      </c>
      <c r="I33" s="319">
        <f t="shared" si="3"/>
        <v>98.76747597203278</v>
      </c>
      <c r="J33" s="229"/>
      <c r="K33" s="319">
        <f t="shared" si="4"/>
        <v>18.13252402796722</v>
      </c>
      <c r="L33" s="138"/>
      <c r="M33" s="138"/>
      <c r="N33" s="373"/>
      <c r="O33" s="373"/>
      <c r="P33" s="373"/>
    </row>
    <row r="34" spans="1:16" ht="15.75">
      <c r="A34" s="581">
        <v>22</v>
      </c>
      <c r="B34" s="586" t="s">
        <v>746</v>
      </c>
      <c r="C34" s="319">
        <f>ROUND(('AT6_FG_py_Utlsn'!C33-'AT6_FG_py_Utlsn'!D33)*3000/100000+('AT6A_FG_Upy_Utlsn '!C33-'AT6A_FG_Upy_Utlsn '!D33)*3000/100000,2)</f>
        <v>126.08</v>
      </c>
      <c r="D34" s="319">
        <v>14</v>
      </c>
      <c r="E34" s="319">
        <f t="shared" si="0"/>
        <v>112.08</v>
      </c>
      <c r="F34" s="319">
        <f>('AT6_FG_py_Utlsn'!E33+'AT6A_FG_Upy_Utlsn '!E33)</f>
        <v>3614.269736024021</v>
      </c>
      <c r="G34" s="319">
        <f t="shared" si="1"/>
        <v>108.42809208072063</v>
      </c>
      <c r="H34" s="319">
        <f t="shared" si="2"/>
        <v>3614.269736024021</v>
      </c>
      <c r="I34" s="319">
        <f t="shared" si="3"/>
        <v>108.42809208072063</v>
      </c>
      <c r="J34" s="229"/>
      <c r="K34" s="319">
        <f t="shared" si="4"/>
        <v>17.651907919279367</v>
      </c>
      <c r="L34" s="138"/>
      <c r="M34" s="138"/>
      <c r="N34" s="373"/>
      <c r="O34" s="373"/>
      <c r="P34" s="373"/>
    </row>
    <row r="35" spans="1:17" s="140" customFormat="1" ht="12.75">
      <c r="A35" s="581">
        <v>23</v>
      </c>
      <c r="B35" s="586" t="s">
        <v>738</v>
      </c>
      <c r="C35" s="319">
        <f>ROUND(('AT6_FG_py_Utlsn'!C34-'AT6_FG_py_Utlsn'!D34)*3000/100000+('AT6A_FG_Upy_Utlsn '!C34-'AT6A_FG_Upy_Utlsn '!D34)*3000/100000,2)</f>
        <v>83.01</v>
      </c>
      <c r="D35" s="320">
        <v>9.32</v>
      </c>
      <c r="E35" s="319">
        <f t="shared" si="0"/>
        <v>73.69</v>
      </c>
      <c r="F35" s="319">
        <f>('AT6_FG_py_Utlsn'!E34+'AT6A_FG_Upy_Utlsn '!E34)</f>
        <v>2443.6979275803587</v>
      </c>
      <c r="G35" s="319">
        <f t="shared" si="1"/>
        <v>73.31093782741077</v>
      </c>
      <c r="H35" s="319">
        <f t="shared" si="2"/>
        <v>2443.6979275803587</v>
      </c>
      <c r="I35" s="319">
        <f t="shared" si="3"/>
        <v>73.31093782741077</v>
      </c>
      <c r="J35" s="230"/>
      <c r="K35" s="319">
        <f t="shared" si="4"/>
        <v>9.699062172589223</v>
      </c>
      <c r="L35" s="139"/>
      <c r="M35" s="139"/>
      <c r="N35" s="373"/>
      <c r="O35" s="373"/>
      <c r="P35" s="373"/>
      <c r="Q35" s="135"/>
    </row>
    <row r="36" spans="1:17" s="140" customFormat="1" ht="12.75">
      <c r="A36" s="581">
        <v>24</v>
      </c>
      <c r="B36" s="586" t="s">
        <v>730</v>
      </c>
      <c r="C36" s="319">
        <f>ROUND(('AT6_FG_py_Utlsn'!C35-'AT6_FG_py_Utlsn'!D35)*3000/100000+('AT6A_FG_Upy_Utlsn '!C35-'AT6A_FG_Upy_Utlsn '!D35)*3000/100000,2)</f>
        <v>93.37</v>
      </c>
      <c r="D36" s="320">
        <v>10.29</v>
      </c>
      <c r="E36" s="319">
        <f t="shared" si="0"/>
        <v>83.08000000000001</v>
      </c>
      <c r="F36" s="319">
        <f>('AT6_FG_py_Utlsn'!E35+'AT6A_FG_Upy_Utlsn '!E35)</f>
        <v>2698.7350177751405</v>
      </c>
      <c r="G36" s="319">
        <f t="shared" si="1"/>
        <v>80.96205053325421</v>
      </c>
      <c r="H36" s="319">
        <f t="shared" si="2"/>
        <v>2698.7350177751405</v>
      </c>
      <c r="I36" s="319">
        <f t="shared" si="3"/>
        <v>80.96205053325421</v>
      </c>
      <c r="J36" s="230"/>
      <c r="K36" s="319">
        <f t="shared" si="4"/>
        <v>12.40794946674579</v>
      </c>
      <c r="L36" s="139"/>
      <c r="M36" s="139"/>
      <c r="N36" s="373"/>
      <c r="O36" s="373"/>
      <c r="P36" s="373"/>
      <c r="Q36" s="135"/>
    </row>
    <row r="37" spans="1:16" ht="15.75" customHeight="1">
      <c r="A37" s="581">
        <v>25</v>
      </c>
      <c r="B37" s="586" t="s">
        <v>736</v>
      </c>
      <c r="C37" s="319">
        <f>ROUND(('AT6_FG_py_Utlsn'!C36-'AT6_FG_py_Utlsn'!D36)*3000/100000+('AT6A_FG_Upy_Utlsn '!C36-'AT6A_FG_Upy_Utlsn '!D36)*3000/100000,2)</f>
        <v>32.73</v>
      </c>
      <c r="D37" s="319">
        <v>3.66</v>
      </c>
      <c r="E37" s="319">
        <f t="shared" si="0"/>
        <v>29.069999999999997</v>
      </c>
      <c r="F37" s="319">
        <f>('AT6_FG_py_Utlsn'!E36+'AT6A_FG_Upy_Utlsn '!E36)</f>
        <v>1081.8763999555767</v>
      </c>
      <c r="G37" s="319">
        <f t="shared" si="1"/>
        <v>32.456291998667304</v>
      </c>
      <c r="H37" s="319">
        <f t="shared" si="2"/>
        <v>1081.8763999555767</v>
      </c>
      <c r="I37" s="319">
        <f t="shared" si="3"/>
        <v>32.456291998667304</v>
      </c>
      <c r="J37" s="231"/>
      <c r="K37" s="319">
        <f>D38+E37-I37</f>
        <v>0.8937080013326906</v>
      </c>
      <c r="L37" s="138"/>
      <c r="M37" s="138"/>
      <c r="N37" s="373"/>
      <c r="O37" s="373"/>
      <c r="P37" s="373"/>
    </row>
    <row r="38" spans="1:16" ht="15.75" customHeight="1">
      <c r="A38" s="581">
        <v>26</v>
      </c>
      <c r="B38" s="586" t="s">
        <v>744</v>
      </c>
      <c r="C38" s="319">
        <f>ROUND(('AT6_FG_py_Utlsn'!C37-'AT6_FG_py_Utlsn'!D37)*3000/100000+('AT6A_FG_Upy_Utlsn '!C37-'AT6A_FG_Upy_Utlsn '!D37)*3000/100000,2)</f>
        <v>39.84</v>
      </c>
      <c r="D38" s="319">
        <v>4.28</v>
      </c>
      <c r="E38" s="319">
        <f t="shared" si="0"/>
        <v>35.56</v>
      </c>
      <c r="F38" s="319">
        <f>('AT6_FG_py_Utlsn'!E37+'AT6A_FG_Upy_Utlsn '!E37)</f>
        <v>1058.7906638576248</v>
      </c>
      <c r="G38" s="319">
        <f t="shared" si="1"/>
        <v>31.763719915728746</v>
      </c>
      <c r="H38" s="319">
        <f t="shared" si="2"/>
        <v>1058.7906638576248</v>
      </c>
      <c r="I38" s="319">
        <f t="shared" si="3"/>
        <v>31.763719915728746</v>
      </c>
      <c r="J38" s="231"/>
      <c r="K38" s="319">
        <f>D37+E38-I38</f>
        <v>7.456280084271253</v>
      </c>
      <c r="L38" s="138"/>
      <c r="M38" s="138"/>
      <c r="N38" s="373"/>
      <c r="O38" s="373"/>
      <c r="P38" s="373"/>
    </row>
    <row r="39" spans="1:16" ht="12.75">
      <c r="A39" s="581">
        <v>27</v>
      </c>
      <c r="B39" s="586" t="s">
        <v>745</v>
      </c>
      <c r="C39" s="319">
        <f>ROUND(('AT6_FG_py_Utlsn'!C38-'AT6_FG_py_Utlsn'!D38)*3000/100000+('AT6A_FG_Upy_Utlsn '!C38-'AT6A_FG_Upy_Utlsn '!D38)*3000/100000,2)</f>
        <v>94.57</v>
      </c>
      <c r="D39" s="319">
        <v>10.59</v>
      </c>
      <c r="E39" s="319">
        <f t="shared" si="0"/>
        <v>83.97999999999999</v>
      </c>
      <c r="F39" s="319">
        <f>('AT6_FG_py_Utlsn'!E38+'AT6A_FG_Upy_Utlsn '!E38)</f>
        <v>2640.208957910745</v>
      </c>
      <c r="G39" s="319">
        <f t="shared" si="1"/>
        <v>79.20626873732235</v>
      </c>
      <c r="H39" s="319">
        <f t="shared" si="2"/>
        <v>2640.208957910745</v>
      </c>
      <c r="I39" s="319">
        <f t="shared" si="3"/>
        <v>79.20626873732235</v>
      </c>
      <c r="J39" s="232"/>
      <c r="K39" s="319">
        <f t="shared" si="4"/>
        <v>15.363731262677646</v>
      </c>
      <c r="L39" s="138"/>
      <c r="M39" s="138"/>
      <c r="N39" s="373"/>
      <c r="O39" s="373"/>
      <c r="P39" s="373"/>
    </row>
    <row r="40" spans="1:17" ht="12.75">
      <c r="A40" s="138"/>
      <c r="B40" s="138" t="s">
        <v>19</v>
      </c>
      <c r="C40" s="328">
        <f aca="true" t="shared" si="5" ref="C40:I40">SUM(C13:C39)</f>
        <v>2671.3600000000006</v>
      </c>
      <c r="D40" s="328">
        <f t="shared" si="5"/>
        <v>289.65999999999997</v>
      </c>
      <c r="E40" s="328">
        <f t="shared" si="5"/>
        <v>2381.7000000000003</v>
      </c>
      <c r="F40" s="328">
        <f t="shared" si="5"/>
        <v>75493.23542743282</v>
      </c>
      <c r="G40" s="328">
        <f t="shared" si="5"/>
        <v>2264.7970628229855</v>
      </c>
      <c r="H40" s="328">
        <f t="shared" si="5"/>
        <v>75493.23542743282</v>
      </c>
      <c r="I40" s="328">
        <f t="shared" si="5"/>
        <v>2264.7970628229855</v>
      </c>
      <c r="J40" s="328"/>
      <c r="K40" s="328">
        <f>SUM(K13:K39)</f>
        <v>406.56293717701544</v>
      </c>
      <c r="L40" s="141"/>
      <c r="M40" s="141"/>
      <c r="O40" s="373"/>
      <c r="P40" s="373"/>
      <c r="Q40" s="373"/>
    </row>
    <row r="43" ht="15.75" customHeight="1"/>
    <row r="44" spans="1:15" ht="15.75" customHeight="1">
      <c r="A44" s="83"/>
      <c r="B44" s="83"/>
      <c r="C44" s="83"/>
      <c r="E44" s="83"/>
      <c r="F44" s="83"/>
      <c r="G44" s="83"/>
      <c r="H44" s="83"/>
      <c r="I44" s="83"/>
      <c r="J44" s="83"/>
      <c r="K44" s="83"/>
      <c r="L44" s="83"/>
      <c r="M44" s="83"/>
      <c r="O44" s="135">
        <f>I40/3000*750</f>
        <v>566.1992657057464</v>
      </c>
    </row>
    <row r="45" spans="1:13" ht="15.75" customHeight="1">
      <c r="A45" s="83"/>
      <c r="B45" s="83"/>
      <c r="C45" s="83"/>
      <c r="D45" s="83"/>
      <c r="E45" s="83"/>
      <c r="F45" s="83"/>
      <c r="G45" s="83"/>
      <c r="H45" s="14"/>
      <c r="I45" s="14"/>
      <c r="J45" s="881" t="s">
        <v>13</v>
      </c>
      <c r="K45" s="881"/>
      <c r="L45" s="83"/>
      <c r="M45" s="14"/>
    </row>
    <row r="46" spans="1:13" ht="12.75" customHeight="1">
      <c r="A46" s="83"/>
      <c r="B46" s="83"/>
      <c r="C46" s="83"/>
      <c r="D46" s="83"/>
      <c r="E46" s="83"/>
      <c r="F46" s="83"/>
      <c r="G46" s="83"/>
      <c r="H46" s="83"/>
      <c r="I46" s="881" t="s">
        <v>14</v>
      </c>
      <c r="J46" s="881"/>
      <c r="K46" s="881"/>
      <c r="L46" s="881"/>
      <c r="M46" s="83"/>
    </row>
    <row r="47" spans="1:13" ht="12.75">
      <c r="A47" s="14" t="s">
        <v>22</v>
      </c>
      <c r="B47" s="14"/>
      <c r="C47" s="14"/>
      <c r="D47" s="14"/>
      <c r="E47" s="14"/>
      <c r="F47" s="14"/>
      <c r="G47" s="15"/>
      <c r="H47" s="881" t="s">
        <v>637</v>
      </c>
      <c r="I47" s="881"/>
      <c r="J47" s="881"/>
      <c r="K47" s="881"/>
      <c r="L47" s="881"/>
      <c r="M47" s="881"/>
    </row>
    <row r="48" spans="1:13" ht="12.75">
      <c r="A48" s="14"/>
      <c r="B48" s="15"/>
      <c r="C48" s="15"/>
      <c r="D48" s="15"/>
      <c r="E48" s="15"/>
      <c r="F48" s="15"/>
      <c r="G48" s="15"/>
      <c r="H48" s="14"/>
      <c r="I48" s="14"/>
      <c r="J48" s="1" t="s">
        <v>84</v>
      </c>
      <c r="K48" s="1"/>
      <c r="L48" s="1"/>
      <c r="M48" s="1"/>
    </row>
  </sheetData>
  <sheetProtection/>
  <mergeCells count="20">
    <mergeCell ref="D9:D11"/>
    <mergeCell ref="E9:E11"/>
    <mergeCell ref="A6:M6"/>
    <mergeCell ref="I46:L46"/>
    <mergeCell ref="H47:M47"/>
    <mergeCell ref="A9:A11"/>
    <mergeCell ref="M9:M11"/>
    <mergeCell ref="L9:L11"/>
    <mergeCell ref="B9:B11"/>
    <mergeCell ref="J45:K45"/>
    <mergeCell ref="K1:M1"/>
    <mergeCell ref="B3:K3"/>
    <mergeCell ref="B4:K4"/>
    <mergeCell ref="C9:C11"/>
    <mergeCell ref="J9:J11"/>
    <mergeCell ref="L7:M7"/>
    <mergeCell ref="G8:M8"/>
    <mergeCell ref="F9:G10"/>
    <mergeCell ref="H9:I10"/>
    <mergeCell ref="K9:K11"/>
  </mergeCells>
  <printOptions horizontalCentered="1"/>
  <pageMargins left="0.7086614173228347" right="0.7086614173228347" top="0.7" bottom="0" header="0.64" footer="0.31496062992125984"/>
  <pageSetup fitToHeight="1" fitToWidth="1" horizontalDpi="600" verticalDpi="600" orientation="landscape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S49"/>
  <sheetViews>
    <sheetView view="pageBreakPreview" zoomScale="90" zoomScaleSheetLayoutView="90" zoomScalePageLayoutView="0" workbookViewId="0" topLeftCell="A4">
      <selection activeCell="A12" sqref="A12:B38"/>
    </sheetView>
  </sheetViews>
  <sheetFormatPr defaultColWidth="9.140625" defaultRowHeight="12.75"/>
  <cols>
    <col min="1" max="1" width="4.421875" style="15" customWidth="1"/>
    <col min="2" max="2" width="13.140625" style="15" customWidth="1"/>
    <col min="3" max="3" width="10.57421875" style="15" customWidth="1"/>
    <col min="4" max="4" width="9.8515625" style="15" customWidth="1"/>
    <col min="5" max="5" width="8.7109375" style="15" customWidth="1"/>
    <col min="6" max="6" width="10.8515625" style="15" customWidth="1"/>
    <col min="7" max="7" width="15.8515625" style="15" customWidth="1"/>
    <col min="8" max="8" width="12.421875" style="15" customWidth="1"/>
    <col min="9" max="9" width="12.140625" style="15" customWidth="1"/>
    <col min="10" max="10" width="9.00390625" style="15" customWidth="1"/>
    <col min="11" max="11" width="12.00390625" style="15" customWidth="1"/>
    <col min="12" max="12" width="17.28125" style="15" customWidth="1"/>
    <col min="13" max="13" width="9.140625" style="15" hidden="1" customWidth="1"/>
    <col min="14" max="16384" width="9.140625" style="15" customWidth="1"/>
  </cols>
  <sheetData>
    <row r="1" spans="4:16" ht="15">
      <c r="D1" s="35"/>
      <c r="E1" s="35"/>
      <c r="F1" s="35"/>
      <c r="G1" s="35"/>
      <c r="H1" s="35"/>
      <c r="I1" s="35"/>
      <c r="J1" s="35"/>
      <c r="K1" s="35"/>
      <c r="L1" s="981" t="s">
        <v>436</v>
      </c>
      <c r="M1" s="981"/>
      <c r="N1" s="981"/>
      <c r="O1" s="42"/>
      <c r="P1" s="42"/>
    </row>
    <row r="2" spans="1:16" ht="15">
      <c r="A2" s="969" t="s">
        <v>0</v>
      </c>
      <c r="B2" s="969"/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44"/>
      <c r="N2" s="44"/>
      <c r="O2" s="44"/>
      <c r="P2" s="44"/>
    </row>
    <row r="3" spans="1:16" ht="20.25">
      <c r="A3" s="982" t="s">
        <v>859</v>
      </c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43"/>
      <c r="N3" s="43"/>
      <c r="O3" s="43"/>
      <c r="P3" s="43"/>
    </row>
    <row r="4" ht="10.5" customHeight="1"/>
    <row r="5" spans="1:12" ht="19.5" customHeight="1">
      <c r="A5" s="971" t="s">
        <v>1044</v>
      </c>
      <c r="B5" s="971"/>
      <c r="C5" s="971"/>
      <c r="D5" s="971"/>
      <c r="E5" s="971"/>
      <c r="F5" s="971"/>
      <c r="G5" s="971"/>
      <c r="H5" s="971"/>
      <c r="I5" s="971"/>
      <c r="J5" s="971"/>
      <c r="K5" s="971"/>
      <c r="L5" s="971"/>
    </row>
    <row r="6" spans="1:12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35" t="s">
        <v>634</v>
      </c>
      <c r="B7" s="35"/>
      <c r="F7" s="979" t="s">
        <v>20</v>
      </c>
      <c r="G7" s="979"/>
      <c r="H7" s="979"/>
      <c r="I7" s="979"/>
      <c r="J7" s="979"/>
      <c r="K7" s="979"/>
      <c r="L7" s="979"/>
    </row>
    <row r="8" spans="1:12" ht="12.75">
      <c r="A8" s="14"/>
      <c r="F8" s="16"/>
      <c r="G8" s="100"/>
      <c r="H8" s="100"/>
      <c r="I8" s="980" t="s">
        <v>936</v>
      </c>
      <c r="J8" s="980"/>
      <c r="K8" s="980"/>
      <c r="L8" s="980"/>
    </row>
    <row r="9" spans="1:19" s="14" customFormat="1" ht="12.75">
      <c r="A9" s="871" t="s">
        <v>2</v>
      </c>
      <c r="B9" s="871" t="s">
        <v>3</v>
      </c>
      <c r="C9" s="894" t="s">
        <v>25</v>
      </c>
      <c r="D9" s="895"/>
      <c r="E9" s="895"/>
      <c r="F9" s="895"/>
      <c r="G9" s="895"/>
      <c r="H9" s="894" t="s">
        <v>26</v>
      </c>
      <c r="I9" s="895"/>
      <c r="J9" s="895"/>
      <c r="K9" s="895"/>
      <c r="L9" s="895"/>
      <c r="R9" s="29"/>
      <c r="S9" s="30"/>
    </row>
    <row r="10" spans="1:12" s="14" customFormat="1" ht="77.25" customHeight="1">
      <c r="A10" s="871"/>
      <c r="B10" s="871"/>
      <c r="C10" s="5" t="s">
        <v>785</v>
      </c>
      <c r="D10" s="5" t="s">
        <v>786</v>
      </c>
      <c r="E10" s="5" t="s">
        <v>70</v>
      </c>
      <c r="F10" s="5" t="s">
        <v>71</v>
      </c>
      <c r="G10" s="5" t="s">
        <v>364</v>
      </c>
      <c r="H10" s="5" t="s">
        <v>785</v>
      </c>
      <c r="I10" s="5" t="s">
        <v>786</v>
      </c>
      <c r="J10" s="5" t="s">
        <v>70</v>
      </c>
      <c r="K10" s="5" t="s">
        <v>71</v>
      </c>
      <c r="L10" s="5" t="s">
        <v>365</v>
      </c>
    </row>
    <row r="11" spans="1:12" s="14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s="14" customFormat="1" ht="12.75">
      <c r="A12" s="581">
        <v>1</v>
      </c>
      <c r="B12" s="586" t="s">
        <v>898</v>
      </c>
      <c r="C12" s="5"/>
      <c r="D12" s="5"/>
      <c r="E12" s="5"/>
      <c r="F12" s="5"/>
      <c r="G12" s="5"/>
      <c r="H12" s="7"/>
      <c r="I12" s="7"/>
      <c r="J12" s="7"/>
      <c r="K12" s="7"/>
      <c r="L12" s="5"/>
    </row>
    <row r="13" spans="1:12" s="14" customFormat="1" ht="12.75">
      <c r="A13" s="581">
        <v>2</v>
      </c>
      <c r="B13" s="586" t="s">
        <v>899</v>
      </c>
      <c r="C13" s="5"/>
      <c r="D13" s="5"/>
      <c r="E13" s="5"/>
      <c r="F13" s="5"/>
      <c r="G13" s="5"/>
      <c r="H13" s="7"/>
      <c r="I13" s="7"/>
      <c r="J13" s="7"/>
      <c r="K13" s="7"/>
      <c r="L13" s="5"/>
    </row>
    <row r="14" spans="1:12" s="14" customFormat="1" ht="12.75">
      <c r="A14" s="581">
        <v>3</v>
      </c>
      <c r="B14" s="586" t="s">
        <v>839</v>
      </c>
      <c r="C14" s="5"/>
      <c r="D14" s="5"/>
      <c r="E14" s="5"/>
      <c r="F14" s="5"/>
      <c r="G14" s="5"/>
      <c r="H14" s="7"/>
      <c r="I14" s="7"/>
      <c r="J14" s="7"/>
      <c r="K14" s="7"/>
      <c r="L14" s="5"/>
    </row>
    <row r="15" spans="1:12" s="14" customFormat="1" ht="12.75">
      <c r="A15" s="581">
        <v>4</v>
      </c>
      <c r="B15" s="586" t="s">
        <v>743</v>
      </c>
      <c r="C15" s="5"/>
      <c r="D15" s="5"/>
      <c r="E15" s="5"/>
      <c r="F15" s="5"/>
      <c r="G15" s="5"/>
      <c r="H15" s="7"/>
      <c r="I15" s="7"/>
      <c r="J15" s="7"/>
      <c r="K15" s="7"/>
      <c r="L15" s="5"/>
    </row>
    <row r="16" spans="1:12" s="14" customFormat="1" ht="12.75">
      <c r="A16" s="581">
        <v>5</v>
      </c>
      <c r="B16" s="586" t="s">
        <v>748</v>
      </c>
      <c r="C16" s="5"/>
      <c r="D16" s="5"/>
      <c r="E16" s="5"/>
      <c r="F16" s="5"/>
      <c r="G16" s="5"/>
      <c r="H16" s="7"/>
      <c r="I16" s="7"/>
      <c r="J16" s="7"/>
      <c r="K16" s="7"/>
      <c r="L16" s="5"/>
    </row>
    <row r="17" spans="1:12" s="14" customFormat="1" ht="12.75">
      <c r="A17" s="581">
        <v>6</v>
      </c>
      <c r="B17" s="586" t="s">
        <v>747</v>
      </c>
      <c r="C17" s="5"/>
      <c r="D17" s="5"/>
      <c r="E17" s="5"/>
      <c r="F17" s="5"/>
      <c r="G17" s="5"/>
      <c r="H17" s="7"/>
      <c r="I17" s="7"/>
      <c r="J17" s="7"/>
      <c r="K17" s="7"/>
      <c r="L17" s="5"/>
    </row>
    <row r="18" spans="1:12" s="14" customFormat="1" ht="12.75">
      <c r="A18" s="581">
        <v>7</v>
      </c>
      <c r="B18" s="586" t="s">
        <v>737</v>
      </c>
      <c r="C18" s="5"/>
      <c r="D18" s="5"/>
      <c r="E18" s="5"/>
      <c r="F18" s="5"/>
      <c r="G18" s="5"/>
      <c r="H18" s="7"/>
      <c r="I18" s="7"/>
      <c r="J18" s="7"/>
      <c r="K18" s="7"/>
      <c r="L18" s="5"/>
    </row>
    <row r="19" spans="1:12" s="14" customFormat="1" ht="12.75">
      <c r="A19" s="581">
        <v>8</v>
      </c>
      <c r="B19" s="586" t="s">
        <v>749</v>
      </c>
      <c r="C19" s="5"/>
      <c r="D19" s="5"/>
      <c r="E19" s="5"/>
      <c r="F19" s="5"/>
      <c r="G19" s="5"/>
      <c r="H19" s="7"/>
      <c r="I19" s="7"/>
      <c r="J19" s="7"/>
      <c r="K19" s="7"/>
      <c r="L19" s="5"/>
    </row>
    <row r="20" spans="1:12" s="14" customFormat="1" ht="12.75">
      <c r="A20" s="581">
        <v>9</v>
      </c>
      <c r="B20" s="586" t="s">
        <v>834</v>
      </c>
      <c r="C20" s="5"/>
      <c r="D20" s="5"/>
      <c r="E20" s="5"/>
      <c r="F20" s="5"/>
      <c r="G20" s="5"/>
      <c r="H20" s="7"/>
      <c r="I20" s="7"/>
      <c r="J20" s="7"/>
      <c r="K20" s="7"/>
      <c r="L20" s="5"/>
    </row>
    <row r="21" spans="1:12" s="14" customFormat="1" ht="12.75">
      <c r="A21" s="581">
        <v>10</v>
      </c>
      <c r="B21" s="586" t="s">
        <v>739</v>
      </c>
      <c r="C21" s="5"/>
      <c r="D21" s="5"/>
      <c r="E21" s="5"/>
      <c r="F21" s="5"/>
      <c r="G21" s="5"/>
      <c r="H21" s="7"/>
      <c r="I21" s="321"/>
      <c r="J21" s="7"/>
      <c r="K21" s="7"/>
      <c r="L21" s="5"/>
    </row>
    <row r="22" spans="1:12" s="14" customFormat="1" ht="12.75">
      <c r="A22" s="581">
        <v>11</v>
      </c>
      <c r="B22" s="586" t="s">
        <v>900</v>
      </c>
      <c r="C22" s="5"/>
      <c r="D22" s="5"/>
      <c r="E22" s="5"/>
      <c r="F22" s="5"/>
      <c r="G22" s="5"/>
      <c r="H22" s="7"/>
      <c r="I22" s="7"/>
      <c r="J22" s="7"/>
      <c r="K22" s="7"/>
      <c r="L22" s="5"/>
    </row>
    <row r="23" spans="1:12" ht="12.75">
      <c r="A23" s="581">
        <v>12</v>
      </c>
      <c r="B23" s="586" t="s">
        <v>731</v>
      </c>
      <c r="C23" s="19"/>
      <c r="D23" s="19"/>
      <c r="E23" s="19"/>
      <c r="F23" s="19"/>
      <c r="G23" s="19"/>
      <c r="H23" s="27"/>
      <c r="I23" s="27"/>
      <c r="J23" s="27"/>
      <c r="K23" s="27"/>
      <c r="L23" s="19"/>
    </row>
    <row r="24" spans="1:12" ht="12.75">
      <c r="A24" s="581">
        <v>13</v>
      </c>
      <c r="B24" s="586" t="s">
        <v>742</v>
      </c>
      <c r="C24" s="19"/>
      <c r="D24" s="19"/>
      <c r="E24" s="19"/>
      <c r="F24" s="19"/>
      <c r="G24" s="19"/>
      <c r="H24" s="27"/>
      <c r="I24" s="27"/>
      <c r="J24" s="27"/>
      <c r="K24" s="27"/>
      <c r="L24" s="19"/>
    </row>
    <row r="25" spans="1:12" ht="12.75">
      <c r="A25" s="581">
        <v>14</v>
      </c>
      <c r="B25" s="586" t="s">
        <v>740</v>
      </c>
      <c r="C25" s="19"/>
      <c r="D25" s="19"/>
      <c r="E25" s="19"/>
      <c r="F25" s="19"/>
      <c r="G25" s="19"/>
      <c r="H25" s="27"/>
      <c r="I25" s="27"/>
      <c r="J25" s="27"/>
      <c r="K25" s="27"/>
      <c r="L25" s="19"/>
    </row>
    <row r="26" spans="1:12" ht="12.75">
      <c r="A26" s="581">
        <v>15</v>
      </c>
      <c r="B26" s="586" t="s">
        <v>734</v>
      </c>
      <c r="C26" s="19"/>
      <c r="D26" s="19"/>
      <c r="E26" s="19"/>
      <c r="F26" s="19"/>
      <c r="G26" s="19"/>
      <c r="H26" s="27"/>
      <c r="I26" s="27"/>
      <c r="J26" s="27"/>
      <c r="K26" s="27"/>
      <c r="L26" s="19"/>
    </row>
    <row r="27" spans="1:12" ht="12.75">
      <c r="A27" s="581">
        <v>16</v>
      </c>
      <c r="B27" s="586" t="s">
        <v>741</v>
      </c>
      <c r="C27" s="19"/>
      <c r="D27" s="19"/>
      <c r="E27" s="19"/>
      <c r="F27" s="19"/>
      <c r="G27" s="19"/>
      <c r="H27" s="27"/>
      <c r="I27" s="27"/>
      <c r="J27" s="27"/>
      <c r="K27" s="27"/>
      <c r="L27" s="19"/>
    </row>
    <row r="28" spans="1:12" ht="12.75">
      <c r="A28" s="581">
        <v>17</v>
      </c>
      <c r="B28" s="586" t="s">
        <v>733</v>
      </c>
      <c r="C28" s="19"/>
      <c r="D28" s="19"/>
      <c r="E28" s="19"/>
      <c r="F28" s="19"/>
      <c r="G28" s="19"/>
      <c r="H28" s="27"/>
      <c r="I28" s="27"/>
      <c r="J28" s="27"/>
      <c r="K28" s="27"/>
      <c r="L28" s="19"/>
    </row>
    <row r="29" spans="1:12" ht="12.75">
      <c r="A29" s="581">
        <v>18</v>
      </c>
      <c r="B29" s="586" t="s">
        <v>735</v>
      </c>
      <c r="C29" s="19"/>
      <c r="D29" s="19"/>
      <c r="E29" s="19"/>
      <c r="F29" s="19"/>
      <c r="G29" s="19"/>
      <c r="H29" s="27"/>
      <c r="I29" s="27"/>
      <c r="J29" s="27"/>
      <c r="K29" s="27"/>
      <c r="L29" s="19"/>
    </row>
    <row r="30" spans="1:12" ht="12.75">
      <c r="A30" s="581">
        <v>19</v>
      </c>
      <c r="B30" s="586" t="s">
        <v>732</v>
      </c>
      <c r="C30" s="19"/>
      <c r="D30" s="19"/>
      <c r="E30" s="19"/>
      <c r="F30" s="19"/>
      <c r="G30" s="19"/>
      <c r="H30" s="27"/>
      <c r="I30" s="27"/>
      <c r="J30" s="27"/>
      <c r="K30" s="27"/>
      <c r="L30" s="19"/>
    </row>
    <row r="31" spans="1:12" ht="12.75">
      <c r="A31" s="581">
        <v>20</v>
      </c>
      <c r="B31" s="586" t="s">
        <v>836</v>
      </c>
      <c r="C31" s="19"/>
      <c r="D31" s="19"/>
      <c r="E31" s="19"/>
      <c r="F31" s="19"/>
      <c r="G31" s="19"/>
      <c r="H31" s="27"/>
      <c r="I31" s="27"/>
      <c r="J31" s="27"/>
      <c r="K31" s="27"/>
      <c r="L31" s="19"/>
    </row>
    <row r="32" spans="1:12" ht="12.75">
      <c r="A32" s="581">
        <v>21</v>
      </c>
      <c r="B32" s="586" t="s">
        <v>729</v>
      </c>
      <c r="C32" s="19"/>
      <c r="D32" s="19"/>
      <c r="E32" s="19"/>
      <c r="F32" s="19"/>
      <c r="G32" s="19"/>
      <c r="H32" s="27"/>
      <c r="I32" s="27"/>
      <c r="J32" s="27"/>
      <c r="K32" s="27"/>
      <c r="L32" s="19"/>
    </row>
    <row r="33" spans="1:12" ht="12.75">
      <c r="A33" s="581">
        <v>22</v>
      </c>
      <c r="B33" s="586" t="s">
        <v>746</v>
      </c>
      <c r="C33" s="19"/>
      <c r="D33" s="19"/>
      <c r="E33" s="19"/>
      <c r="F33" s="19"/>
      <c r="G33" s="19"/>
      <c r="H33" s="27"/>
      <c r="I33" s="27"/>
      <c r="J33" s="27"/>
      <c r="K33" s="27"/>
      <c r="L33" s="19"/>
    </row>
    <row r="34" spans="1:12" ht="12.75">
      <c r="A34" s="581">
        <v>23</v>
      </c>
      <c r="B34" s="586" t="s">
        <v>738</v>
      </c>
      <c r="C34" s="19"/>
      <c r="D34" s="19"/>
      <c r="E34" s="19"/>
      <c r="F34" s="19"/>
      <c r="G34" s="19"/>
      <c r="H34" s="27"/>
      <c r="I34" s="27"/>
      <c r="J34" s="27"/>
      <c r="K34" s="27"/>
      <c r="L34" s="19"/>
    </row>
    <row r="35" spans="1:12" ht="12.75">
      <c r="A35" s="581">
        <v>24</v>
      </c>
      <c r="B35" s="586" t="s">
        <v>730</v>
      </c>
      <c r="C35" s="19"/>
      <c r="D35" s="19"/>
      <c r="E35" s="19"/>
      <c r="F35" s="19"/>
      <c r="G35" s="19"/>
      <c r="H35" s="27"/>
      <c r="I35" s="27"/>
      <c r="J35" s="27"/>
      <c r="K35" s="27"/>
      <c r="L35" s="19"/>
    </row>
    <row r="36" spans="1:12" ht="12.75">
      <c r="A36" s="581">
        <v>25</v>
      </c>
      <c r="B36" s="586" t="s">
        <v>736</v>
      </c>
      <c r="C36" s="19"/>
      <c r="D36" s="19"/>
      <c r="E36" s="19"/>
      <c r="F36" s="19"/>
      <c r="G36" s="19"/>
      <c r="H36" s="27"/>
      <c r="I36" s="27"/>
      <c r="J36" s="27"/>
      <c r="K36" s="27"/>
      <c r="L36" s="19"/>
    </row>
    <row r="37" spans="1:12" ht="12.75">
      <c r="A37" s="581">
        <v>26</v>
      </c>
      <c r="B37" s="586" t="s">
        <v>744</v>
      </c>
      <c r="C37" s="19"/>
      <c r="D37" s="19"/>
      <c r="E37" s="19"/>
      <c r="F37" s="19"/>
      <c r="G37" s="19"/>
      <c r="H37" s="27"/>
      <c r="I37" s="27"/>
      <c r="J37" s="27"/>
      <c r="K37" s="27"/>
      <c r="L37" s="19"/>
    </row>
    <row r="38" spans="1:12" ht="12.75">
      <c r="A38" s="581">
        <v>27</v>
      </c>
      <c r="B38" s="586" t="s">
        <v>745</v>
      </c>
      <c r="C38" s="19"/>
      <c r="D38" s="19"/>
      <c r="E38" s="19"/>
      <c r="F38" s="19"/>
      <c r="G38" s="19"/>
      <c r="H38" s="27"/>
      <c r="I38" s="27"/>
      <c r="J38" s="27"/>
      <c r="K38" s="27"/>
      <c r="L38" s="19"/>
    </row>
    <row r="39" spans="1:12" ht="12.75">
      <c r="A39" s="3" t="s">
        <v>19</v>
      </c>
      <c r="B39" s="19"/>
      <c r="C39" s="19"/>
      <c r="D39" s="19"/>
      <c r="E39" s="19"/>
      <c r="F39" s="19"/>
      <c r="G39" s="19"/>
      <c r="H39" s="27"/>
      <c r="I39" s="27"/>
      <c r="J39" s="27"/>
      <c r="K39" s="27"/>
      <c r="L39" s="19"/>
    </row>
    <row r="40" spans="1:12" ht="12.75">
      <c r="A40" s="21" t="s">
        <v>363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12.75">
      <c r="A41" s="20" t="s">
        <v>362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15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ht="15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ht="14.2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</row>
    <row r="45" spans="1:12" ht="12.75" customHeight="1">
      <c r="A45" s="83"/>
      <c r="B45" s="83"/>
      <c r="C45" s="83"/>
      <c r="D45" s="83"/>
      <c r="E45" s="83"/>
      <c r="F45" s="83"/>
      <c r="G45" s="14"/>
      <c r="H45" s="14"/>
      <c r="I45" s="881" t="s">
        <v>13</v>
      </c>
      <c r="J45" s="881"/>
      <c r="K45" s="83"/>
      <c r="L45" s="14"/>
    </row>
    <row r="46" spans="1:12" ht="12.75" customHeight="1">
      <c r="A46" s="83"/>
      <c r="B46" s="83"/>
      <c r="C46" s="83"/>
      <c r="D46" s="83"/>
      <c r="E46" s="83"/>
      <c r="F46" s="83"/>
      <c r="G46" s="83"/>
      <c r="H46" s="881" t="s">
        <v>14</v>
      </c>
      <c r="I46" s="881"/>
      <c r="J46" s="881"/>
      <c r="K46" s="881"/>
      <c r="L46" s="83"/>
    </row>
    <row r="47" spans="1:13" ht="12.75">
      <c r="A47" s="14" t="s">
        <v>22</v>
      </c>
      <c r="B47" s="14"/>
      <c r="C47" s="14"/>
      <c r="D47" s="14"/>
      <c r="E47" s="14"/>
      <c r="F47" s="14"/>
      <c r="G47" s="881" t="s">
        <v>637</v>
      </c>
      <c r="H47" s="881"/>
      <c r="I47" s="881"/>
      <c r="J47" s="881"/>
      <c r="K47" s="881"/>
      <c r="L47" s="881"/>
      <c r="M47" s="35"/>
    </row>
    <row r="48" spans="1:12" ht="12.75">
      <c r="A48" s="14"/>
      <c r="G48" s="14"/>
      <c r="H48" s="14"/>
      <c r="I48" s="1" t="s">
        <v>84</v>
      </c>
      <c r="J48" s="1"/>
      <c r="K48" s="1"/>
      <c r="L48" s="1"/>
    </row>
    <row r="49" spans="1:12" ht="12.75">
      <c r="A49" s="970"/>
      <c r="B49" s="970"/>
      <c r="C49" s="970"/>
      <c r="D49" s="970"/>
      <c r="E49" s="970"/>
      <c r="F49" s="970"/>
      <c r="G49" s="970"/>
      <c r="H49" s="970"/>
      <c r="I49" s="970"/>
      <c r="J49" s="970"/>
      <c r="K49" s="970"/>
      <c r="L49" s="970"/>
    </row>
  </sheetData>
  <sheetProtection/>
  <mergeCells count="14">
    <mergeCell ref="H9:L9"/>
    <mergeCell ref="I45:J45"/>
    <mergeCell ref="H46:K46"/>
    <mergeCell ref="G47:L47"/>
    <mergeCell ref="L1:N1"/>
    <mergeCell ref="A2:L2"/>
    <mergeCell ref="A3:L3"/>
    <mergeCell ref="A5:L5"/>
    <mergeCell ref="F7:L7"/>
    <mergeCell ref="A49:L49"/>
    <mergeCell ref="I8:L8"/>
    <mergeCell ref="A9:A10"/>
    <mergeCell ref="B9:B10"/>
    <mergeCell ref="C9:G9"/>
  </mergeCells>
  <printOptions horizontalCentered="1"/>
  <pageMargins left="0.7086614173228347" right="0.7086614173228347" top="0.66" bottom="0" header="0.63" footer="0.17"/>
  <pageSetup fitToHeight="1" fitToWidth="1" horizontalDpi="600" verticalDpi="600" orientation="landscape" paperSize="9" scale="74" r:id="rId2"/>
  <rowBreaks count="1" manualBreakCount="1">
    <brk id="48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R49"/>
  <sheetViews>
    <sheetView view="pageBreakPreview" zoomScale="90" zoomScaleSheetLayoutView="90" zoomScalePageLayoutView="0" workbookViewId="0" topLeftCell="H38">
      <selection activeCell="R13" sqref="R1:V16384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4" width="10.140625" style="15" customWidth="1"/>
    <col min="5" max="5" width="9.421875" style="15" customWidth="1"/>
    <col min="6" max="6" width="8.140625" style="15" customWidth="1"/>
    <col min="7" max="7" width="9.28125" style="15" customWidth="1"/>
    <col min="8" max="8" width="8.140625" style="15" customWidth="1"/>
    <col min="9" max="9" width="11.28125" style="15" customWidth="1"/>
    <col min="10" max="10" width="9.140625" style="15" customWidth="1"/>
    <col min="11" max="11" width="9.28125" style="15" customWidth="1"/>
    <col min="12" max="12" width="9.421875" style="15" customWidth="1"/>
    <col min="13" max="13" width="8.8515625" style="15" customWidth="1"/>
    <col min="14" max="14" width="9.140625" style="15" customWidth="1"/>
    <col min="15" max="15" width="13.28125" style="15" customWidth="1"/>
    <col min="16" max="16" width="13.00390625" style="15" customWidth="1"/>
    <col min="17" max="17" width="13.28125" style="15" customWidth="1"/>
    <col min="18" max="18" width="9.140625" style="15" customWidth="1"/>
    <col min="19" max="19" width="9.57421875" style="15" bestFit="1" customWidth="1"/>
    <col min="20" max="16384" width="9.140625" style="15" customWidth="1"/>
  </cols>
  <sheetData>
    <row r="1" spans="8:17" ht="15">
      <c r="H1" s="35"/>
      <c r="I1" s="35"/>
      <c r="J1" s="35"/>
      <c r="K1" s="35"/>
      <c r="L1" s="35"/>
      <c r="M1" s="35"/>
      <c r="N1" s="35"/>
      <c r="O1" s="35"/>
      <c r="P1" s="967" t="s">
        <v>64</v>
      </c>
      <c r="Q1" s="967"/>
    </row>
    <row r="2" spans="1:17" ht="15">
      <c r="A2" s="969" t="s">
        <v>0</v>
      </c>
      <c r="B2" s="969"/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969"/>
      <c r="N2" s="969"/>
      <c r="O2" s="969"/>
      <c r="P2" s="969"/>
      <c r="Q2" s="969"/>
    </row>
    <row r="3" spans="1:17" ht="20.25">
      <c r="A3" s="902" t="s">
        <v>859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</row>
    <row r="4" ht="10.5" customHeight="1"/>
    <row r="5" spans="1:17" ht="12.75">
      <c r="A5" s="24"/>
      <c r="B5" s="24"/>
      <c r="C5" s="24"/>
      <c r="D5" s="24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3"/>
      <c r="Q5" s="21"/>
    </row>
    <row r="6" spans="1:17" ht="18" customHeight="1">
      <c r="A6" s="971" t="s">
        <v>948</v>
      </c>
      <c r="B6" s="971"/>
      <c r="C6" s="971"/>
      <c r="D6" s="971"/>
      <c r="E6" s="971"/>
      <c r="F6" s="971"/>
      <c r="G6" s="971"/>
      <c r="H6" s="971"/>
      <c r="I6" s="971"/>
      <c r="J6" s="971"/>
      <c r="K6" s="971"/>
      <c r="L6" s="971"/>
      <c r="M6" s="971"/>
      <c r="N6" s="971"/>
      <c r="O6" s="971"/>
      <c r="P6" s="971"/>
      <c r="Q6" s="971"/>
    </row>
    <row r="7" ht="9.75" customHeight="1"/>
    <row r="8" ht="0.75" customHeight="1"/>
    <row r="9" spans="1:17" ht="12.75">
      <c r="A9" s="35" t="s">
        <v>636</v>
      </c>
      <c r="B9" s="35"/>
      <c r="Q9" s="32" t="s">
        <v>23</v>
      </c>
    </row>
    <row r="10" spans="1:17" ht="15.75">
      <c r="A10" s="13"/>
      <c r="N10" s="980" t="s">
        <v>936</v>
      </c>
      <c r="O10" s="980"/>
      <c r="P10" s="980"/>
      <c r="Q10" s="980"/>
    </row>
    <row r="11" spans="1:17" ht="28.5" customHeight="1">
      <c r="A11" s="963" t="s">
        <v>2</v>
      </c>
      <c r="B11" s="963" t="s">
        <v>3</v>
      </c>
      <c r="C11" s="871" t="s">
        <v>950</v>
      </c>
      <c r="D11" s="871"/>
      <c r="E11" s="871"/>
      <c r="F11" s="871" t="s">
        <v>951</v>
      </c>
      <c r="G11" s="871"/>
      <c r="H11" s="871"/>
      <c r="I11" s="921" t="s">
        <v>372</v>
      </c>
      <c r="J11" s="870"/>
      <c r="K11" s="995"/>
      <c r="L11" s="921" t="s">
        <v>93</v>
      </c>
      <c r="M11" s="870"/>
      <c r="N11" s="995"/>
      <c r="O11" s="996" t="s">
        <v>949</v>
      </c>
      <c r="P11" s="997"/>
      <c r="Q11" s="998"/>
    </row>
    <row r="12" spans="1:17" ht="29.25" customHeight="1">
      <c r="A12" s="964"/>
      <c r="B12" s="964"/>
      <c r="C12" s="5" t="s">
        <v>113</v>
      </c>
      <c r="D12" s="5" t="s">
        <v>368</v>
      </c>
      <c r="E12" s="38" t="s">
        <v>19</v>
      </c>
      <c r="F12" s="5" t="s">
        <v>113</v>
      </c>
      <c r="G12" s="5" t="s">
        <v>369</v>
      </c>
      <c r="H12" s="38" t="s">
        <v>19</v>
      </c>
      <c r="I12" s="5" t="s">
        <v>113</v>
      </c>
      <c r="J12" s="5" t="s">
        <v>369</v>
      </c>
      <c r="K12" s="38" t="s">
        <v>19</v>
      </c>
      <c r="L12" s="5" t="s">
        <v>113</v>
      </c>
      <c r="M12" s="5" t="s">
        <v>369</v>
      </c>
      <c r="N12" s="38" t="s">
        <v>19</v>
      </c>
      <c r="O12" s="5" t="s">
        <v>254</v>
      </c>
      <c r="P12" s="5" t="s">
        <v>370</v>
      </c>
      <c r="Q12" s="5" t="s">
        <v>114</v>
      </c>
    </row>
    <row r="13" spans="1:17" s="70" customFormat="1" ht="12.75">
      <c r="A13" s="67">
        <v>1</v>
      </c>
      <c r="B13" s="67">
        <v>2</v>
      </c>
      <c r="C13" s="67">
        <v>3</v>
      </c>
      <c r="D13" s="67">
        <v>4</v>
      </c>
      <c r="E13" s="67">
        <v>5</v>
      </c>
      <c r="F13" s="67">
        <v>6</v>
      </c>
      <c r="G13" s="67">
        <v>7</v>
      </c>
      <c r="H13" s="67">
        <v>8</v>
      </c>
      <c r="I13" s="67">
        <v>9</v>
      </c>
      <c r="J13" s="67">
        <v>10</v>
      </c>
      <c r="K13" s="67">
        <v>11</v>
      </c>
      <c r="L13" s="67">
        <v>12</v>
      </c>
      <c r="M13" s="67">
        <v>13</v>
      </c>
      <c r="N13" s="67">
        <v>14</v>
      </c>
      <c r="O13" s="67">
        <v>15</v>
      </c>
      <c r="P13" s="67">
        <v>16</v>
      </c>
      <c r="Q13" s="67">
        <v>17</v>
      </c>
    </row>
    <row r="14" spans="1:17" s="70" customFormat="1" ht="13.5" customHeight="1">
      <c r="A14" s="581">
        <v>1</v>
      </c>
      <c r="B14" s="586" t="s">
        <v>898</v>
      </c>
      <c r="C14" s="323">
        <f>ROUND(('AT5_PLAN_vs_PRFM'!F12+'AT5C_Drought_PLAN_vs_PRFM '!F12)*2.61/100000,2)</f>
        <v>340.61</v>
      </c>
      <c r="D14" s="323">
        <f>ROUND(C14/2.61*2.21,2)</f>
        <v>288.41</v>
      </c>
      <c r="E14" s="324">
        <f>SUM(C14:D14)</f>
        <v>629.02</v>
      </c>
      <c r="F14" s="318">
        <v>41.32</v>
      </c>
      <c r="G14" s="315">
        <v>22.91</v>
      </c>
      <c r="H14" s="315">
        <f aca="true" t="shared" si="0" ref="H14:H40">SUM(F14:G14)</f>
        <v>64.23</v>
      </c>
      <c r="I14" s="323">
        <f>C14-F14</f>
        <v>299.29</v>
      </c>
      <c r="J14" s="323">
        <f>D14-G14</f>
        <v>265.5</v>
      </c>
      <c r="K14" s="324">
        <f aca="true" t="shared" si="1" ref="K14:K40">SUM(I14:J14)</f>
        <v>564.79</v>
      </c>
      <c r="L14" s="315">
        <f>ROUND(('AT5_PLAN_vs_PRFM'!H12+'AT5C_Drought_PLAN_vs_PRFM '!H12)*2.61/100000,2)</f>
        <v>303.81</v>
      </c>
      <c r="M14" s="315">
        <f>ROUND(('AT5_PLAN_vs_PRFM'!H12+'AT5C_Drought_PLAN_vs_PRFM '!H12)*2.21/100000,2)</f>
        <v>257.25</v>
      </c>
      <c r="N14" s="315">
        <f aca="true" t="shared" si="2" ref="N14:N40">SUM(L14:M14)</f>
        <v>561.06</v>
      </c>
      <c r="O14" s="315">
        <f aca="true" t="shared" si="3" ref="O14:O40">F14+I14-L14</f>
        <v>36.80000000000001</v>
      </c>
      <c r="P14" s="315">
        <f aca="true" t="shared" si="4" ref="P14:P40">G14+J14-M14</f>
        <v>31.160000000000025</v>
      </c>
      <c r="Q14" s="315">
        <f aca="true" t="shared" si="5" ref="Q14:Q40">SUM(O14:P14)</f>
        <v>67.96000000000004</v>
      </c>
    </row>
    <row r="15" spans="1:17" s="70" customFormat="1" ht="12.75">
      <c r="A15" s="581">
        <v>2</v>
      </c>
      <c r="B15" s="586" t="s">
        <v>899</v>
      </c>
      <c r="C15" s="323">
        <f>ROUND(('AT5_PLAN_vs_PRFM'!F13+'AT5C_Drought_PLAN_vs_PRFM '!F13)*2.61/100000,2)</f>
        <v>394.62</v>
      </c>
      <c r="D15" s="323">
        <f aca="true" t="shared" si="6" ref="D15:D40">ROUND(C15/2.61*2.21,2)</f>
        <v>334.14</v>
      </c>
      <c r="E15" s="324">
        <f aca="true" t="shared" si="7" ref="E15:E40">SUM(C15:D15)</f>
        <v>728.76</v>
      </c>
      <c r="F15" s="318">
        <v>50.15</v>
      </c>
      <c r="G15" s="315">
        <v>27.81</v>
      </c>
      <c r="H15" s="315">
        <f t="shared" si="0"/>
        <v>77.96</v>
      </c>
      <c r="I15" s="323">
        <f aca="true" t="shared" si="8" ref="I15:I40">C15-F15</f>
        <v>344.47</v>
      </c>
      <c r="J15" s="323">
        <f aca="true" t="shared" si="9" ref="J15:J40">D15-G15</f>
        <v>306.33</v>
      </c>
      <c r="K15" s="324">
        <f t="shared" si="1"/>
        <v>650.8</v>
      </c>
      <c r="L15" s="315">
        <f>ROUND(('AT5_PLAN_vs_PRFM'!H13+'AT5C_Drought_PLAN_vs_PRFM '!H13)*2.61/100000,2)</f>
        <v>352.72</v>
      </c>
      <c r="M15" s="315">
        <f>ROUND(('AT5_PLAN_vs_PRFM'!H13+'AT5C_Drought_PLAN_vs_PRFM '!H13)*2.21/100000,2)</f>
        <v>298.66</v>
      </c>
      <c r="N15" s="315">
        <f t="shared" si="2"/>
        <v>651.3800000000001</v>
      </c>
      <c r="O15" s="315">
        <f t="shared" si="3"/>
        <v>41.89999999999998</v>
      </c>
      <c r="P15" s="315">
        <f t="shared" si="4"/>
        <v>35.47999999999996</v>
      </c>
      <c r="Q15" s="315">
        <f t="shared" si="5"/>
        <v>77.37999999999994</v>
      </c>
    </row>
    <row r="16" spans="1:17" s="70" customFormat="1" ht="12.75">
      <c r="A16" s="581">
        <v>3</v>
      </c>
      <c r="B16" s="586" t="s">
        <v>839</v>
      </c>
      <c r="C16" s="323">
        <f>ROUND(('AT5_PLAN_vs_PRFM'!F14+'AT5C_Drought_PLAN_vs_PRFM '!F14)*2.61/100000,2)</f>
        <v>322.22</v>
      </c>
      <c r="D16" s="323">
        <f t="shared" si="6"/>
        <v>272.84</v>
      </c>
      <c r="E16" s="324">
        <f t="shared" si="7"/>
        <v>595.06</v>
      </c>
      <c r="F16" s="318">
        <v>39.09</v>
      </c>
      <c r="G16" s="315">
        <v>21.67</v>
      </c>
      <c r="H16" s="315">
        <f t="shared" si="0"/>
        <v>60.760000000000005</v>
      </c>
      <c r="I16" s="323">
        <f t="shared" si="8"/>
        <v>283.13</v>
      </c>
      <c r="J16" s="323">
        <f t="shared" si="9"/>
        <v>251.16999999999996</v>
      </c>
      <c r="K16" s="324">
        <f t="shared" si="1"/>
        <v>534.3</v>
      </c>
      <c r="L16" s="315">
        <f>ROUND(('AT5_PLAN_vs_PRFM'!H14+'AT5C_Drought_PLAN_vs_PRFM '!H14)*2.61/100000,2)</f>
        <v>274.77</v>
      </c>
      <c r="M16" s="315">
        <f>ROUND(('AT5_PLAN_vs_PRFM'!H14+'AT5C_Drought_PLAN_vs_PRFM '!H14)*2.21/100000,2)</f>
        <v>232.66</v>
      </c>
      <c r="N16" s="315">
        <f t="shared" si="2"/>
        <v>507.42999999999995</v>
      </c>
      <c r="O16" s="315">
        <f t="shared" si="3"/>
        <v>47.450000000000045</v>
      </c>
      <c r="P16" s="315">
        <f t="shared" si="4"/>
        <v>40.17999999999998</v>
      </c>
      <c r="Q16" s="315">
        <f t="shared" si="5"/>
        <v>87.63000000000002</v>
      </c>
    </row>
    <row r="17" spans="1:17" s="70" customFormat="1" ht="12.75">
      <c r="A17" s="581">
        <v>4</v>
      </c>
      <c r="B17" s="586" t="s">
        <v>743</v>
      </c>
      <c r="C17" s="323">
        <f>ROUND(('AT5_PLAN_vs_PRFM'!F15+'AT5C_Drought_PLAN_vs_PRFM '!F15)*2.61/100000,2)</f>
        <v>989.22</v>
      </c>
      <c r="D17" s="323">
        <f t="shared" si="6"/>
        <v>837.62</v>
      </c>
      <c r="E17" s="324">
        <f t="shared" si="7"/>
        <v>1826.8400000000001</v>
      </c>
      <c r="F17" s="318">
        <v>115.45</v>
      </c>
      <c r="G17" s="315">
        <v>64.01</v>
      </c>
      <c r="H17" s="315">
        <f t="shared" si="0"/>
        <v>179.46</v>
      </c>
      <c r="I17" s="323">
        <f t="shared" si="8"/>
        <v>873.77</v>
      </c>
      <c r="J17" s="323">
        <f t="shared" si="9"/>
        <v>773.61</v>
      </c>
      <c r="K17" s="324">
        <f t="shared" si="1"/>
        <v>1647.38</v>
      </c>
      <c r="L17" s="315">
        <f>ROUND(('AT5_PLAN_vs_PRFM'!H15+'AT5C_Drought_PLAN_vs_PRFM '!H15)*2.61/100000,2)</f>
        <v>734.75</v>
      </c>
      <c r="M17" s="315">
        <f>ROUND(('AT5_PLAN_vs_PRFM'!H15+'AT5C_Drought_PLAN_vs_PRFM '!H15)*2.21/100000,2)</f>
        <v>622.14</v>
      </c>
      <c r="N17" s="315">
        <f t="shared" si="2"/>
        <v>1356.8899999999999</v>
      </c>
      <c r="O17" s="315">
        <f t="shared" si="3"/>
        <v>254.47000000000003</v>
      </c>
      <c r="P17" s="315">
        <f t="shared" si="4"/>
        <v>215.48000000000002</v>
      </c>
      <c r="Q17" s="315">
        <f t="shared" si="5"/>
        <v>469.95000000000005</v>
      </c>
    </row>
    <row r="18" spans="1:17" s="70" customFormat="1" ht="12.75">
      <c r="A18" s="581">
        <v>5</v>
      </c>
      <c r="B18" s="586" t="s">
        <v>748</v>
      </c>
      <c r="C18" s="323">
        <f>ROUND(('AT5_PLAN_vs_PRFM'!F16+'AT5C_Drought_PLAN_vs_PRFM '!F16)*2.61/100000,2)</f>
        <v>585.29</v>
      </c>
      <c r="D18" s="323">
        <f t="shared" si="6"/>
        <v>495.59</v>
      </c>
      <c r="E18" s="324">
        <f t="shared" si="7"/>
        <v>1080.8799999999999</v>
      </c>
      <c r="F18" s="318">
        <v>71</v>
      </c>
      <c r="G18" s="315">
        <v>39.37</v>
      </c>
      <c r="H18" s="315">
        <f t="shared" si="0"/>
        <v>110.37</v>
      </c>
      <c r="I18" s="323">
        <f t="shared" si="8"/>
        <v>514.29</v>
      </c>
      <c r="J18" s="323">
        <f t="shared" si="9"/>
        <v>456.21999999999997</v>
      </c>
      <c r="K18" s="324">
        <f t="shared" si="1"/>
        <v>970.51</v>
      </c>
      <c r="L18" s="315">
        <f>ROUND(('AT5_PLAN_vs_PRFM'!H16+'AT5C_Drought_PLAN_vs_PRFM '!H16)*2.61/100000,2)</f>
        <v>456.19</v>
      </c>
      <c r="M18" s="315">
        <f aca="true" t="shared" si="10" ref="M18:M40">ROUND(L18/2.61*2.21,2)</f>
        <v>386.28</v>
      </c>
      <c r="N18" s="315">
        <f t="shared" si="2"/>
        <v>842.47</v>
      </c>
      <c r="O18" s="315">
        <f t="shared" si="3"/>
        <v>129.09999999999997</v>
      </c>
      <c r="P18" s="315">
        <f t="shared" si="4"/>
        <v>109.31</v>
      </c>
      <c r="Q18" s="315">
        <f t="shared" si="5"/>
        <v>238.40999999999997</v>
      </c>
    </row>
    <row r="19" spans="1:17" s="70" customFormat="1" ht="12.75">
      <c r="A19" s="581">
        <v>6</v>
      </c>
      <c r="B19" s="586" t="s">
        <v>747</v>
      </c>
      <c r="C19" s="323">
        <f>ROUND(('AT5_PLAN_vs_PRFM'!F17+'AT5C_Drought_PLAN_vs_PRFM '!F17)*2.61/100000,2)</f>
        <v>807.42</v>
      </c>
      <c r="D19" s="323">
        <f t="shared" si="6"/>
        <v>683.68</v>
      </c>
      <c r="E19" s="324">
        <f t="shared" si="7"/>
        <v>1491.1</v>
      </c>
      <c r="F19" s="318">
        <v>92.26</v>
      </c>
      <c r="G19" s="315">
        <v>51.16</v>
      </c>
      <c r="H19" s="315">
        <f t="shared" si="0"/>
        <v>143.42000000000002</v>
      </c>
      <c r="I19" s="323">
        <f t="shared" si="8"/>
        <v>715.16</v>
      </c>
      <c r="J19" s="323">
        <f t="shared" si="9"/>
        <v>632.52</v>
      </c>
      <c r="K19" s="324">
        <f t="shared" si="1"/>
        <v>1347.6799999999998</v>
      </c>
      <c r="L19" s="315">
        <f>ROUND(('AT5_PLAN_vs_PRFM'!H17+'AT5C_Drought_PLAN_vs_PRFM '!H17)*2.61/100000,2)</f>
        <v>622.97</v>
      </c>
      <c r="M19" s="315">
        <f t="shared" si="10"/>
        <v>527.5</v>
      </c>
      <c r="N19" s="315">
        <f t="shared" si="2"/>
        <v>1150.47</v>
      </c>
      <c r="O19" s="315">
        <f t="shared" si="3"/>
        <v>184.44999999999993</v>
      </c>
      <c r="P19" s="315">
        <f t="shared" si="4"/>
        <v>156.17999999999995</v>
      </c>
      <c r="Q19" s="315">
        <f t="shared" si="5"/>
        <v>340.6299999999999</v>
      </c>
    </row>
    <row r="20" spans="1:17" s="70" customFormat="1" ht="12.75">
      <c r="A20" s="581">
        <v>7</v>
      </c>
      <c r="B20" s="586" t="s">
        <v>737</v>
      </c>
      <c r="C20" s="323">
        <f>ROUND(('AT5_PLAN_vs_PRFM'!F18+'AT5C_Drought_PLAN_vs_PRFM '!F18)*2.61/100000,2)</f>
        <v>445.81</v>
      </c>
      <c r="D20" s="323">
        <f t="shared" si="6"/>
        <v>377.49</v>
      </c>
      <c r="E20" s="324">
        <f t="shared" si="7"/>
        <v>823.3</v>
      </c>
      <c r="F20" s="318">
        <v>54.53</v>
      </c>
      <c r="G20" s="315">
        <v>30.24</v>
      </c>
      <c r="H20" s="315">
        <f t="shared" si="0"/>
        <v>84.77</v>
      </c>
      <c r="I20" s="323">
        <f t="shared" si="8"/>
        <v>391.28</v>
      </c>
      <c r="J20" s="323">
        <f t="shared" si="9"/>
        <v>347.25</v>
      </c>
      <c r="K20" s="324">
        <f t="shared" si="1"/>
        <v>738.53</v>
      </c>
      <c r="L20" s="315">
        <f>ROUND(('AT5_PLAN_vs_PRFM'!H18+'AT5C_Drought_PLAN_vs_PRFM '!H18)*2.61/100000,2)</f>
        <v>344.92</v>
      </c>
      <c r="M20" s="315">
        <f t="shared" si="10"/>
        <v>292.06</v>
      </c>
      <c r="N20" s="315">
        <f t="shared" si="2"/>
        <v>636.98</v>
      </c>
      <c r="O20" s="315">
        <f t="shared" si="3"/>
        <v>100.88999999999993</v>
      </c>
      <c r="P20" s="315">
        <f t="shared" si="4"/>
        <v>85.43</v>
      </c>
      <c r="Q20" s="315">
        <f t="shared" si="5"/>
        <v>186.31999999999994</v>
      </c>
    </row>
    <row r="21" spans="1:17" s="70" customFormat="1" ht="12.75">
      <c r="A21" s="581">
        <v>8</v>
      </c>
      <c r="B21" s="586" t="s">
        <v>749</v>
      </c>
      <c r="C21" s="323">
        <f>ROUND(('AT5_PLAN_vs_PRFM'!F19+'AT5C_Drought_PLAN_vs_PRFM '!F19)*2.61/100000,2)</f>
        <v>693.1</v>
      </c>
      <c r="D21" s="323">
        <f t="shared" si="6"/>
        <v>586.88</v>
      </c>
      <c r="E21" s="324">
        <f t="shared" si="7"/>
        <v>1279.98</v>
      </c>
      <c r="F21" s="318">
        <v>78.01</v>
      </c>
      <c r="G21" s="315">
        <v>43.25</v>
      </c>
      <c r="H21" s="315">
        <f t="shared" si="0"/>
        <v>121.26</v>
      </c>
      <c r="I21" s="323">
        <f t="shared" si="8"/>
        <v>615.09</v>
      </c>
      <c r="J21" s="323">
        <f t="shared" si="9"/>
        <v>543.63</v>
      </c>
      <c r="K21" s="324">
        <f t="shared" si="1"/>
        <v>1158.72</v>
      </c>
      <c r="L21" s="315">
        <f>ROUND(('AT5_PLAN_vs_PRFM'!H19+'AT5C_Drought_PLAN_vs_PRFM '!H19)*2.61/100000,2)</f>
        <v>517.61</v>
      </c>
      <c r="M21" s="315">
        <f t="shared" si="10"/>
        <v>438.28</v>
      </c>
      <c r="N21" s="315">
        <f t="shared" si="2"/>
        <v>955.89</v>
      </c>
      <c r="O21" s="315">
        <f t="shared" si="3"/>
        <v>175.49</v>
      </c>
      <c r="P21" s="315">
        <f t="shared" si="4"/>
        <v>148.60000000000002</v>
      </c>
      <c r="Q21" s="315">
        <f t="shared" si="5"/>
        <v>324.09000000000003</v>
      </c>
    </row>
    <row r="22" spans="1:17" s="70" customFormat="1" ht="12.75">
      <c r="A22" s="581">
        <v>9</v>
      </c>
      <c r="B22" s="586" t="s">
        <v>834</v>
      </c>
      <c r="C22" s="323">
        <f>ROUND(('AT5_PLAN_vs_PRFM'!F20+'AT5C_Drought_PLAN_vs_PRFM '!F20)*2.61/100000,2)</f>
        <v>380.73</v>
      </c>
      <c r="D22" s="323">
        <f t="shared" si="6"/>
        <v>322.38</v>
      </c>
      <c r="E22" s="324">
        <f t="shared" si="7"/>
        <v>703.11</v>
      </c>
      <c r="F22" s="318">
        <v>46.18</v>
      </c>
      <c r="G22" s="315">
        <v>25.61</v>
      </c>
      <c r="H22" s="315">
        <f t="shared" si="0"/>
        <v>71.78999999999999</v>
      </c>
      <c r="I22" s="323">
        <f t="shared" si="8"/>
        <v>334.55</v>
      </c>
      <c r="J22" s="323">
        <f t="shared" si="9"/>
        <v>296.77</v>
      </c>
      <c r="K22" s="324">
        <f t="shared" si="1"/>
        <v>631.3199999999999</v>
      </c>
      <c r="L22" s="315">
        <f>ROUND(('AT5_PLAN_vs_PRFM'!H20+'AT5C_Drought_PLAN_vs_PRFM '!H20)*2.61/100000,2)</f>
        <v>330.86</v>
      </c>
      <c r="M22" s="315">
        <f t="shared" si="10"/>
        <v>280.15</v>
      </c>
      <c r="N22" s="315">
        <f t="shared" si="2"/>
        <v>611.01</v>
      </c>
      <c r="O22" s="315">
        <f t="shared" si="3"/>
        <v>49.870000000000005</v>
      </c>
      <c r="P22" s="315">
        <f t="shared" si="4"/>
        <v>42.23000000000002</v>
      </c>
      <c r="Q22" s="315">
        <f t="shared" si="5"/>
        <v>92.10000000000002</v>
      </c>
    </row>
    <row r="23" spans="1:17" s="70" customFormat="1" ht="12.75">
      <c r="A23" s="581">
        <v>10</v>
      </c>
      <c r="B23" s="586" t="s">
        <v>739</v>
      </c>
      <c r="C23" s="323">
        <f>ROUND(('AT5_PLAN_vs_PRFM'!F21+'AT5C_Drought_PLAN_vs_PRFM '!F21)*2.61/100000,2)</f>
        <v>110.7</v>
      </c>
      <c r="D23" s="323">
        <f t="shared" si="6"/>
        <v>93.73</v>
      </c>
      <c r="E23" s="324">
        <f t="shared" si="7"/>
        <v>204.43</v>
      </c>
      <c r="F23" s="318">
        <v>13.43</v>
      </c>
      <c r="G23" s="315">
        <v>7.45</v>
      </c>
      <c r="H23" s="315">
        <f t="shared" si="0"/>
        <v>20.88</v>
      </c>
      <c r="I23" s="323">
        <f t="shared" si="8"/>
        <v>97.27000000000001</v>
      </c>
      <c r="J23" s="323">
        <f t="shared" si="9"/>
        <v>86.28</v>
      </c>
      <c r="K23" s="324">
        <f t="shared" si="1"/>
        <v>183.55</v>
      </c>
      <c r="L23" s="315">
        <f>ROUND(('AT5_PLAN_vs_PRFM'!H21+'AT5C_Drought_PLAN_vs_PRFM '!H21)*2.61/100000,2)</f>
        <v>95.99</v>
      </c>
      <c r="M23" s="315">
        <f t="shared" si="10"/>
        <v>81.28</v>
      </c>
      <c r="N23" s="315">
        <f t="shared" si="2"/>
        <v>177.26999999999998</v>
      </c>
      <c r="O23" s="315">
        <f t="shared" si="3"/>
        <v>14.710000000000022</v>
      </c>
      <c r="P23" s="315">
        <f t="shared" si="4"/>
        <v>12.450000000000003</v>
      </c>
      <c r="Q23" s="315">
        <f t="shared" si="5"/>
        <v>27.160000000000025</v>
      </c>
    </row>
    <row r="24" spans="1:17" s="70" customFormat="1" ht="12.75">
      <c r="A24" s="581">
        <v>11</v>
      </c>
      <c r="B24" s="586" t="s">
        <v>900</v>
      </c>
      <c r="C24" s="323">
        <f>ROUND(('AT5_PLAN_vs_PRFM'!F22+'AT5C_Drought_PLAN_vs_PRFM '!F22)*2.61/100000,2)</f>
        <v>151.77</v>
      </c>
      <c r="D24" s="323">
        <f t="shared" si="6"/>
        <v>128.51</v>
      </c>
      <c r="E24" s="324">
        <f t="shared" si="7"/>
        <v>280.28</v>
      </c>
      <c r="F24" s="318">
        <v>18.41</v>
      </c>
      <c r="G24" s="315">
        <v>10.21</v>
      </c>
      <c r="H24" s="315">
        <f t="shared" si="0"/>
        <v>28.62</v>
      </c>
      <c r="I24" s="323">
        <f t="shared" si="8"/>
        <v>133.36</v>
      </c>
      <c r="J24" s="323">
        <f t="shared" si="9"/>
        <v>118.29999999999998</v>
      </c>
      <c r="K24" s="324">
        <f t="shared" si="1"/>
        <v>251.66</v>
      </c>
      <c r="L24" s="315">
        <f>ROUND(('AT5_PLAN_vs_PRFM'!H22+'AT5C_Drought_PLAN_vs_PRFM '!H22)*2.61/100000,2)</f>
        <v>125.92</v>
      </c>
      <c r="M24" s="315">
        <f t="shared" si="10"/>
        <v>106.62</v>
      </c>
      <c r="N24" s="315">
        <f t="shared" si="2"/>
        <v>232.54000000000002</v>
      </c>
      <c r="O24" s="315">
        <f t="shared" si="3"/>
        <v>25.85000000000001</v>
      </c>
      <c r="P24" s="315">
        <f t="shared" si="4"/>
        <v>21.889999999999986</v>
      </c>
      <c r="Q24" s="315">
        <f t="shared" si="5"/>
        <v>47.739999999999995</v>
      </c>
    </row>
    <row r="25" spans="1:18" ht="12.75">
      <c r="A25" s="581">
        <v>12</v>
      </c>
      <c r="B25" s="586" t="s">
        <v>731</v>
      </c>
      <c r="C25" s="323">
        <f>ROUND(('AT5_PLAN_vs_PRFM'!F23+'AT5C_Drought_PLAN_vs_PRFM '!F23)*2.61/100000,2)</f>
        <v>358.12</v>
      </c>
      <c r="D25" s="323">
        <f t="shared" si="6"/>
        <v>303.24</v>
      </c>
      <c r="E25" s="324">
        <f t="shared" si="7"/>
        <v>661.36</v>
      </c>
      <c r="F25" s="311">
        <v>43.44</v>
      </c>
      <c r="G25" s="315">
        <v>24.09</v>
      </c>
      <c r="H25" s="315">
        <f t="shared" si="0"/>
        <v>67.53</v>
      </c>
      <c r="I25" s="323">
        <f t="shared" si="8"/>
        <v>314.68</v>
      </c>
      <c r="J25" s="323">
        <f t="shared" si="9"/>
        <v>279.15000000000003</v>
      </c>
      <c r="K25" s="324">
        <f t="shared" si="1"/>
        <v>593.83</v>
      </c>
      <c r="L25" s="315">
        <f>ROUND(('AT5_PLAN_vs_PRFM'!H23+'AT5C_Drought_PLAN_vs_PRFM '!H23)*2.61/100000,2)</f>
        <v>300.64</v>
      </c>
      <c r="M25" s="315">
        <f t="shared" si="10"/>
        <v>254.56</v>
      </c>
      <c r="N25" s="315">
        <f t="shared" si="2"/>
        <v>555.2</v>
      </c>
      <c r="O25" s="315">
        <f t="shared" si="3"/>
        <v>57.48000000000002</v>
      </c>
      <c r="P25" s="315">
        <f t="shared" si="4"/>
        <v>48.68000000000001</v>
      </c>
      <c r="Q25" s="315">
        <f t="shared" si="5"/>
        <v>106.16000000000003</v>
      </c>
      <c r="R25" s="70"/>
    </row>
    <row r="26" spans="1:18" ht="12.75">
      <c r="A26" s="581">
        <v>13</v>
      </c>
      <c r="B26" s="586" t="s">
        <v>742</v>
      </c>
      <c r="C26" s="323">
        <f>ROUND(('AT5_PLAN_vs_PRFM'!F24+'AT5C_Drought_PLAN_vs_PRFM '!F24)*2.61/100000,2)</f>
        <v>368.82</v>
      </c>
      <c r="D26" s="323">
        <f t="shared" si="6"/>
        <v>312.3</v>
      </c>
      <c r="E26" s="324">
        <f t="shared" si="7"/>
        <v>681.12</v>
      </c>
      <c r="F26" s="311">
        <v>44.28</v>
      </c>
      <c r="G26" s="315">
        <v>24.55</v>
      </c>
      <c r="H26" s="315">
        <f t="shared" si="0"/>
        <v>68.83</v>
      </c>
      <c r="I26" s="323">
        <f t="shared" si="8"/>
        <v>324.53999999999996</v>
      </c>
      <c r="J26" s="323">
        <f t="shared" si="9"/>
        <v>287.75</v>
      </c>
      <c r="K26" s="324">
        <f t="shared" si="1"/>
        <v>612.29</v>
      </c>
      <c r="L26" s="315">
        <f>ROUND(('AT5_PLAN_vs_PRFM'!H24+'AT5C_Drought_PLAN_vs_PRFM '!H24)*2.61/100000,2)</f>
        <v>320.56</v>
      </c>
      <c r="M26" s="315">
        <f t="shared" si="10"/>
        <v>271.43</v>
      </c>
      <c r="N26" s="315">
        <f t="shared" si="2"/>
        <v>591.99</v>
      </c>
      <c r="O26" s="315">
        <f t="shared" si="3"/>
        <v>48.259999999999934</v>
      </c>
      <c r="P26" s="315">
        <f t="shared" si="4"/>
        <v>40.870000000000005</v>
      </c>
      <c r="Q26" s="315">
        <f t="shared" si="5"/>
        <v>89.12999999999994</v>
      </c>
      <c r="R26" s="70"/>
    </row>
    <row r="27" spans="1:18" ht="12.75">
      <c r="A27" s="581">
        <v>14</v>
      </c>
      <c r="B27" s="586" t="s">
        <v>740</v>
      </c>
      <c r="C27" s="323">
        <f>ROUND(('AT5_PLAN_vs_PRFM'!F25+'AT5C_Drought_PLAN_vs_PRFM '!F25)*2.61/100000,2)</f>
        <v>414.37</v>
      </c>
      <c r="D27" s="323">
        <f t="shared" si="6"/>
        <v>350.87</v>
      </c>
      <c r="E27" s="324">
        <f t="shared" si="7"/>
        <v>765.24</v>
      </c>
      <c r="F27" s="311">
        <v>59.8</v>
      </c>
      <c r="G27" s="315">
        <v>33.16</v>
      </c>
      <c r="H27" s="315">
        <f t="shared" si="0"/>
        <v>92.96</v>
      </c>
      <c r="I27" s="323">
        <f t="shared" si="8"/>
        <v>354.57</v>
      </c>
      <c r="J27" s="323">
        <f t="shared" si="9"/>
        <v>317.71000000000004</v>
      </c>
      <c r="K27" s="324">
        <f t="shared" si="1"/>
        <v>672.28</v>
      </c>
      <c r="L27" s="315">
        <f>ROUND(('AT5_PLAN_vs_PRFM'!H25+'AT5C_Drought_PLAN_vs_PRFM '!H25)*2.61/100000,2)</f>
        <v>381.32</v>
      </c>
      <c r="M27" s="315">
        <f t="shared" si="10"/>
        <v>322.88</v>
      </c>
      <c r="N27" s="315">
        <f t="shared" si="2"/>
        <v>704.2</v>
      </c>
      <c r="O27" s="315">
        <f t="shared" si="3"/>
        <v>33.05000000000001</v>
      </c>
      <c r="P27" s="315">
        <f t="shared" si="4"/>
        <v>27.99000000000001</v>
      </c>
      <c r="Q27" s="315">
        <f t="shared" si="5"/>
        <v>61.04000000000002</v>
      </c>
      <c r="R27" s="70"/>
    </row>
    <row r="28" spans="1:18" ht="12.75">
      <c r="A28" s="581">
        <v>15</v>
      </c>
      <c r="B28" s="586" t="s">
        <v>734</v>
      </c>
      <c r="C28" s="323">
        <f>ROUND(('AT5_PLAN_vs_PRFM'!F26+'AT5C_Drought_PLAN_vs_PRFM '!F26)*2.61/100000,2)</f>
        <v>322.51</v>
      </c>
      <c r="D28" s="323">
        <f t="shared" si="6"/>
        <v>273.08</v>
      </c>
      <c r="E28" s="324">
        <f t="shared" si="7"/>
        <v>595.5899999999999</v>
      </c>
      <c r="F28" s="311">
        <v>39.12</v>
      </c>
      <c r="G28" s="315">
        <v>21.69</v>
      </c>
      <c r="H28" s="315">
        <f t="shared" si="0"/>
        <v>60.81</v>
      </c>
      <c r="I28" s="323">
        <f t="shared" si="8"/>
        <v>283.39</v>
      </c>
      <c r="J28" s="323">
        <f t="shared" si="9"/>
        <v>251.39</v>
      </c>
      <c r="K28" s="324">
        <f t="shared" si="1"/>
        <v>534.78</v>
      </c>
      <c r="L28" s="315">
        <f>ROUND(('AT5_PLAN_vs_PRFM'!H26+'AT5C_Drought_PLAN_vs_PRFM '!H26)*2.61/100000,2)</f>
        <v>272.76</v>
      </c>
      <c r="M28" s="315">
        <f t="shared" si="10"/>
        <v>230.96</v>
      </c>
      <c r="N28" s="315">
        <f t="shared" si="2"/>
        <v>503.72</v>
      </c>
      <c r="O28" s="315">
        <f t="shared" si="3"/>
        <v>49.75</v>
      </c>
      <c r="P28" s="315">
        <f t="shared" si="4"/>
        <v>42.119999999999976</v>
      </c>
      <c r="Q28" s="315">
        <f t="shared" si="5"/>
        <v>91.86999999999998</v>
      </c>
      <c r="R28" s="70"/>
    </row>
    <row r="29" spans="1:18" ht="12.75">
      <c r="A29" s="581">
        <v>16</v>
      </c>
      <c r="B29" s="586" t="s">
        <v>741</v>
      </c>
      <c r="C29" s="323">
        <f>ROUND(('AT5_PLAN_vs_PRFM'!F27+'AT5C_Drought_PLAN_vs_PRFM '!F27)*2.61/100000,2)</f>
        <v>661.43</v>
      </c>
      <c r="D29" s="323">
        <f t="shared" si="6"/>
        <v>560.06</v>
      </c>
      <c r="E29" s="324">
        <f t="shared" si="7"/>
        <v>1221.4899999999998</v>
      </c>
      <c r="F29" s="311">
        <v>97.86</v>
      </c>
      <c r="G29" s="315">
        <v>54.26</v>
      </c>
      <c r="H29" s="315">
        <f t="shared" si="0"/>
        <v>152.12</v>
      </c>
      <c r="I29" s="323">
        <f t="shared" si="8"/>
        <v>563.5699999999999</v>
      </c>
      <c r="J29" s="323">
        <f t="shared" si="9"/>
        <v>505.79999999999995</v>
      </c>
      <c r="K29" s="324">
        <f t="shared" si="1"/>
        <v>1069.37</v>
      </c>
      <c r="L29" s="315">
        <f>ROUND(('AT5_PLAN_vs_PRFM'!H27+'AT5C_Drought_PLAN_vs_PRFM '!H27)*2.61/100000,2)</f>
        <v>629.1</v>
      </c>
      <c r="M29" s="315">
        <f t="shared" si="10"/>
        <v>532.69</v>
      </c>
      <c r="N29" s="315">
        <f t="shared" si="2"/>
        <v>1161.79</v>
      </c>
      <c r="O29" s="315">
        <f t="shared" si="3"/>
        <v>32.32999999999993</v>
      </c>
      <c r="P29" s="315">
        <f t="shared" si="4"/>
        <v>27.36999999999989</v>
      </c>
      <c r="Q29" s="315">
        <f t="shared" si="5"/>
        <v>59.69999999999982</v>
      </c>
      <c r="R29" s="70"/>
    </row>
    <row r="30" spans="1:18" ht="12.75">
      <c r="A30" s="581">
        <v>17</v>
      </c>
      <c r="B30" s="586" t="s">
        <v>733</v>
      </c>
      <c r="C30" s="323">
        <f>ROUND(('AT5_PLAN_vs_PRFM'!F28+'AT5C_Drought_PLAN_vs_PRFM '!F28)*2.61/100000,2)</f>
        <v>278.22</v>
      </c>
      <c r="D30" s="323">
        <f t="shared" si="6"/>
        <v>235.58</v>
      </c>
      <c r="E30" s="324">
        <f t="shared" si="7"/>
        <v>513.8000000000001</v>
      </c>
      <c r="F30" s="311">
        <v>33.75</v>
      </c>
      <c r="G30" s="315">
        <v>18.71</v>
      </c>
      <c r="H30" s="315">
        <f t="shared" si="0"/>
        <v>52.46</v>
      </c>
      <c r="I30" s="323">
        <f t="shared" si="8"/>
        <v>244.47000000000003</v>
      </c>
      <c r="J30" s="323">
        <f t="shared" si="9"/>
        <v>216.87</v>
      </c>
      <c r="K30" s="324">
        <f t="shared" si="1"/>
        <v>461.34000000000003</v>
      </c>
      <c r="L30" s="315">
        <f>ROUND(('AT5_PLAN_vs_PRFM'!H28+'AT5C_Drought_PLAN_vs_PRFM '!H28)*2.61/100000,2)</f>
        <v>232.65</v>
      </c>
      <c r="M30" s="315">
        <f t="shared" si="10"/>
        <v>196.99</v>
      </c>
      <c r="N30" s="315">
        <f t="shared" si="2"/>
        <v>429.64</v>
      </c>
      <c r="O30" s="315">
        <f t="shared" si="3"/>
        <v>45.57000000000002</v>
      </c>
      <c r="P30" s="315">
        <f t="shared" si="4"/>
        <v>38.59</v>
      </c>
      <c r="Q30" s="315">
        <f t="shared" si="5"/>
        <v>84.16000000000003</v>
      </c>
      <c r="R30" s="70"/>
    </row>
    <row r="31" spans="1:18" ht="12.75">
      <c r="A31" s="581">
        <v>18</v>
      </c>
      <c r="B31" s="586" t="s">
        <v>735</v>
      </c>
      <c r="C31" s="323">
        <f>ROUND(('AT5_PLAN_vs_PRFM'!F29+'AT5C_Drought_PLAN_vs_PRFM '!F29)*2.61/100000,2)</f>
        <v>584.16</v>
      </c>
      <c r="D31" s="323">
        <f t="shared" si="6"/>
        <v>494.63</v>
      </c>
      <c r="E31" s="324">
        <f t="shared" si="7"/>
        <v>1078.79</v>
      </c>
      <c r="F31" s="311">
        <v>79.96</v>
      </c>
      <c r="G31" s="315">
        <v>44.34</v>
      </c>
      <c r="H31" s="315">
        <f t="shared" si="0"/>
        <v>124.3</v>
      </c>
      <c r="I31" s="323">
        <f t="shared" si="8"/>
        <v>504.2</v>
      </c>
      <c r="J31" s="323">
        <f t="shared" si="9"/>
        <v>450.28999999999996</v>
      </c>
      <c r="K31" s="324">
        <f t="shared" si="1"/>
        <v>954.49</v>
      </c>
      <c r="L31" s="315">
        <f>ROUND(('AT5_PLAN_vs_PRFM'!H29+'AT5C_Drought_PLAN_vs_PRFM '!H29)*2.61/100000,2)</f>
        <v>519.74</v>
      </c>
      <c r="M31" s="315">
        <f t="shared" si="10"/>
        <v>440.09</v>
      </c>
      <c r="N31" s="315">
        <f t="shared" si="2"/>
        <v>959.8299999999999</v>
      </c>
      <c r="O31" s="315">
        <f t="shared" si="3"/>
        <v>64.41999999999996</v>
      </c>
      <c r="P31" s="315">
        <f t="shared" si="4"/>
        <v>54.54000000000002</v>
      </c>
      <c r="Q31" s="315">
        <f t="shared" si="5"/>
        <v>118.95999999999998</v>
      </c>
      <c r="R31" s="70"/>
    </row>
    <row r="32" spans="1:18" ht="12.75">
      <c r="A32" s="581">
        <v>19</v>
      </c>
      <c r="B32" s="586" t="s">
        <v>732</v>
      </c>
      <c r="C32" s="323">
        <f>ROUND(('AT5_PLAN_vs_PRFM'!F30+'AT5C_Drought_PLAN_vs_PRFM '!F30)*2.61/100000,2)</f>
        <v>435.89</v>
      </c>
      <c r="D32" s="323">
        <f t="shared" si="6"/>
        <v>369.09</v>
      </c>
      <c r="E32" s="324">
        <f t="shared" si="7"/>
        <v>804.98</v>
      </c>
      <c r="F32" s="311">
        <v>52.87</v>
      </c>
      <c r="G32" s="315">
        <v>29.31</v>
      </c>
      <c r="H32" s="315">
        <f t="shared" si="0"/>
        <v>82.17999999999999</v>
      </c>
      <c r="I32" s="323">
        <f t="shared" si="8"/>
        <v>383.02</v>
      </c>
      <c r="J32" s="323">
        <f t="shared" si="9"/>
        <v>339.78</v>
      </c>
      <c r="K32" s="324">
        <f t="shared" si="1"/>
        <v>722.8</v>
      </c>
      <c r="L32" s="315">
        <f>ROUND(('AT5_PLAN_vs_PRFM'!H30+'AT5C_Drought_PLAN_vs_PRFM '!H30)*2.61/100000,2)</f>
        <v>374.89</v>
      </c>
      <c r="M32" s="315">
        <f t="shared" si="10"/>
        <v>317.44</v>
      </c>
      <c r="N32" s="315">
        <f t="shared" si="2"/>
        <v>692.3299999999999</v>
      </c>
      <c r="O32" s="315">
        <f t="shared" si="3"/>
        <v>61</v>
      </c>
      <c r="P32" s="315">
        <f t="shared" si="4"/>
        <v>51.64999999999998</v>
      </c>
      <c r="Q32" s="315">
        <f t="shared" si="5"/>
        <v>112.64999999999998</v>
      </c>
      <c r="R32" s="70"/>
    </row>
    <row r="33" spans="1:18" ht="12.75">
      <c r="A33" s="581">
        <v>20</v>
      </c>
      <c r="B33" s="586" t="s">
        <v>836</v>
      </c>
      <c r="C33" s="323">
        <f>ROUND(('AT5_PLAN_vs_PRFM'!F31+'AT5C_Drought_PLAN_vs_PRFM '!F31)*2.61/100000,2)</f>
        <v>429.98</v>
      </c>
      <c r="D33" s="323">
        <f t="shared" si="6"/>
        <v>364.08</v>
      </c>
      <c r="E33" s="324">
        <f t="shared" si="7"/>
        <v>794.06</v>
      </c>
      <c r="F33" s="311">
        <v>50.64</v>
      </c>
      <c r="G33" s="315">
        <v>28.08</v>
      </c>
      <c r="H33" s="315">
        <f t="shared" si="0"/>
        <v>78.72</v>
      </c>
      <c r="I33" s="323">
        <f t="shared" si="8"/>
        <v>379.34000000000003</v>
      </c>
      <c r="J33" s="323">
        <f t="shared" si="9"/>
        <v>336</v>
      </c>
      <c r="K33" s="324">
        <f t="shared" si="1"/>
        <v>715.34</v>
      </c>
      <c r="L33" s="315">
        <f>ROUND(('AT5_PLAN_vs_PRFM'!H31+'AT5C_Drought_PLAN_vs_PRFM '!H31)*2.61/100000,2)</f>
        <v>359.81</v>
      </c>
      <c r="M33" s="315">
        <f t="shared" si="10"/>
        <v>304.67</v>
      </c>
      <c r="N33" s="315">
        <f t="shared" si="2"/>
        <v>664.48</v>
      </c>
      <c r="O33" s="315">
        <f t="shared" si="3"/>
        <v>70.17000000000002</v>
      </c>
      <c r="P33" s="315">
        <f t="shared" si="4"/>
        <v>59.40999999999997</v>
      </c>
      <c r="Q33" s="315">
        <f t="shared" si="5"/>
        <v>129.57999999999998</v>
      </c>
      <c r="R33" s="70"/>
    </row>
    <row r="34" spans="1:18" ht="12.75">
      <c r="A34" s="581">
        <v>21</v>
      </c>
      <c r="B34" s="586" t="s">
        <v>729</v>
      </c>
      <c r="C34" s="323">
        <f>ROUND(('AT5_PLAN_vs_PRFM'!F32+'AT5C_Drought_PLAN_vs_PRFM '!F32)*2.61/100000,2)</f>
        <v>523.18</v>
      </c>
      <c r="D34" s="323">
        <f t="shared" si="6"/>
        <v>443</v>
      </c>
      <c r="E34" s="324">
        <f t="shared" si="7"/>
        <v>966.18</v>
      </c>
      <c r="F34" s="311">
        <v>63.46</v>
      </c>
      <c r="G34" s="315">
        <v>35.19</v>
      </c>
      <c r="H34" s="315">
        <f t="shared" si="0"/>
        <v>98.65</v>
      </c>
      <c r="I34" s="323">
        <f t="shared" si="8"/>
        <v>459.71999999999997</v>
      </c>
      <c r="J34" s="323">
        <f t="shared" si="9"/>
        <v>407.81</v>
      </c>
      <c r="K34" s="324">
        <f t="shared" si="1"/>
        <v>867.53</v>
      </c>
      <c r="L34" s="315">
        <f>ROUND(('AT5_PLAN_vs_PRFM'!H32+'AT5C_Drought_PLAN_vs_PRFM '!H32)*2.61/100000,2)</f>
        <v>436.6</v>
      </c>
      <c r="M34" s="315">
        <f t="shared" si="10"/>
        <v>369.69</v>
      </c>
      <c r="N34" s="315">
        <f t="shared" si="2"/>
        <v>806.29</v>
      </c>
      <c r="O34" s="315">
        <f t="shared" si="3"/>
        <v>86.57999999999993</v>
      </c>
      <c r="P34" s="315">
        <f t="shared" si="4"/>
        <v>73.31</v>
      </c>
      <c r="Q34" s="315">
        <f t="shared" si="5"/>
        <v>159.88999999999993</v>
      </c>
      <c r="R34" s="70"/>
    </row>
    <row r="35" spans="1:18" ht="12.75">
      <c r="A35" s="581">
        <v>22</v>
      </c>
      <c r="B35" s="586" t="s">
        <v>746</v>
      </c>
      <c r="C35" s="323">
        <f>ROUND(('AT5_PLAN_vs_PRFM'!F33+'AT5C_Drought_PLAN_vs_PRFM '!F33)*2.61/100000,2)</f>
        <v>545.53</v>
      </c>
      <c r="D35" s="323">
        <f t="shared" si="6"/>
        <v>461.92</v>
      </c>
      <c r="E35" s="324">
        <f t="shared" si="7"/>
        <v>1007.45</v>
      </c>
      <c r="F35" s="311">
        <v>66.17</v>
      </c>
      <c r="G35" s="315">
        <v>36.69</v>
      </c>
      <c r="H35" s="315">
        <f t="shared" si="0"/>
        <v>102.86</v>
      </c>
      <c r="I35" s="323">
        <f t="shared" si="8"/>
        <v>479.35999999999996</v>
      </c>
      <c r="J35" s="323">
        <f t="shared" si="9"/>
        <v>425.23</v>
      </c>
      <c r="K35" s="324">
        <f t="shared" si="1"/>
        <v>904.5899999999999</v>
      </c>
      <c r="L35" s="315">
        <f>ROUND(('AT5_PLAN_vs_PRFM'!H33+'AT5C_Drought_PLAN_vs_PRFM '!H33)*2.61/100000,2)</f>
        <v>460.59</v>
      </c>
      <c r="M35" s="315">
        <f t="shared" si="10"/>
        <v>390</v>
      </c>
      <c r="N35" s="315">
        <f t="shared" si="2"/>
        <v>850.5899999999999</v>
      </c>
      <c r="O35" s="315">
        <f t="shared" si="3"/>
        <v>84.94</v>
      </c>
      <c r="P35" s="315">
        <f t="shared" si="4"/>
        <v>71.92000000000002</v>
      </c>
      <c r="Q35" s="315">
        <f t="shared" si="5"/>
        <v>156.86</v>
      </c>
      <c r="R35" s="70"/>
    </row>
    <row r="36" spans="1:18" ht="12.75">
      <c r="A36" s="581">
        <v>23</v>
      </c>
      <c r="B36" s="586" t="s">
        <v>738</v>
      </c>
      <c r="C36" s="323">
        <f>ROUND(('AT5_PLAN_vs_PRFM'!F34+'AT5C_Drought_PLAN_vs_PRFM '!F34)*2.61/100000,2)</f>
        <v>315.08</v>
      </c>
      <c r="D36" s="323">
        <f t="shared" si="6"/>
        <v>266.79</v>
      </c>
      <c r="E36" s="324">
        <f t="shared" si="7"/>
        <v>581.87</v>
      </c>
      <c r="F36" s="311">
        <v>43.15</v>
      </c>
      <c r="G36" s="315">
        <v>23.93</v>
      </c>
      <c r="H36" s="315">
        <f t="shared" si="0"/>
        <v>67.08</v>
      </c>
      <c r="I36" s="323">
        <f t="shared" si="8"/>
        <v>271.93</v>
      </c>
      <c r="J36" s="323">
        <f t="shared" si="9"/>
        <v>242.86</v>
      </c>
      <c r="K36" s="324">
        <f t="shared" si="1"/>
        <v>514.79</v>
      </c>
      <c r="L36" s="315">
        <f>ROUND(('AT5_PLAN_vs_PRFM'!H34+'AT5C_Drought_PLAN_vs_PRFM '!H34)*2.61/100000,2)</f>
        <v>306.05</v>
      </c>
      <c r="M36" s="315">
        <f t="shared" si="10"/>
        <v>259.15</v>
      </c>
      <c r="N36" s="315">
        <f t="shared" si="2"/>
        <v>565.2</v>
      </c>
      <c r="O36" s="315">
        <f t="shared" si="3"/>
        <v>9.029999999999973</v>
      </c>
      <c r="P36" s="315">
        <f t="shared" si="4"/>
        <v>7.640000000000043</v>
      </c>
      <c r="Q36" s="315">
        <f t="shared" si="5"/>
        <v>16.670000000000016</v>
      </c>
      <c r="R36" s="70"/>
    </row>
    <row r="37" spans="1:18" ht="12.75">
      <c r="A37" s="581">
        <v>24</v>
      </c>
      <c r="B37" s="586" t="s">
        <v>730</v>
      </c>
      <c r="C37" s="323">
        <f>ROUND(('AT5_PLAN_vs_PRFM'!F35+'AT5C_Drought_PLAN_vs_PRFM '!F35)*2.61/100000,2)</f>
        <v>407.44</v>
      </c>
      <c r="D37" s="323">
        <f t="shared" si="6"/>
        <v>345</v>
      </c>
      <c r="E37" s="324">
        <f t="shared" si="7"/>
        <v>752.44</v>
      </c>
      <c r="F37" s="311">
        <v>49.04</v>
      </c>
      <c r="G37" s="315">
        <v>27.19</v>
      </c>
      <c r="H37" s="315">
        <f t="shared" si="0"/>
        <v>76.23</v>
      </c>
      <c r="I37" s="323">
        <f t="shared" si="8"/>
        <v>358.4</v>
      </c>
      <c r="J37" s="323">
        <f t="shared" si="9"/>
        <v>317.81</v>
      </c>
      <c r="K37" s="324">
        <f t="shared" si="1"/>
        <v>676.21</v>
      </c>
      <c r="L37" s="315">
        <f>ROUND(('AT5_PLAN_vs_PRFM'!H35+'AT5C_Drought_PLAN_vs_PRFM '!H35)*2.61/100000,2)</f>
        <v>340.87</v>
      </c>
      <c r="M37" s="315">
        <f t="shared" si="10"/>
        <v>288.63</v>
      </c>
      <c r="N37" s="315">
        <f t="shared" si="2"/>
        <v>629.5</v>
      </c>
      <c r="O37" s="315">
        <f t="shared" si="3"/>
        <v>66.57</v>
      </c>
      <c r="P37" s="315">
        <f t="shared" si="4"/>
        <v>56.370000000000005</v>
      </c>
      <c r="Q37" s="315">
        <f t="shared" si="5"/>
        <v>122.94</v>
      </c>
      <c r="R37" s="70"/>
    </row>
    <row r="38" spans="1:18" ht="12.75">
      <c r="A38" s="581">
        <v>25</v>
      </c>
      <c r="B38" s="586" t="s">
        <v>736</v>
      </c>
      <c r="C38" s="323">
        <f>ROUND(('AT5_PLAN_vs_PRFM'!F36+'AT5C_Drought_PLAN_vs_PRFM '!F36)*2.61/100000,2)</f>
        <v>177.67</v>
      </c>
      <c r="D38" s="323">
        <f t="shared" si="6"/>
        <v>150.44</v>
      </c>
      <c r="E38" s="324">
        <f t="shared" si="7"/>
        <v>328.11</v>
      </c>
      <c r="F38" s="311">
        <v>21.55</v>
      </c>
      <c r="G38" s="315">
        <v>11.95</v>
      </c>
      <c r="H38" s="315">
        <f t="shared" si="0"/>
        <v>33.5</v>
      </c>
      <c r="I38" s="323">
        <f t="shared" si="8"/>
        <v>156.11999999999998</v>
      </c>
      <c r="J38" s="323">
        <f t="shared" si="9"/>
        <v>138.49</v>
      </c>
      <c r="K38" s="324">
        <f t="shared" si="1"/>
        <v>294.61</v>
      </c>
      <c r="L38" s="315">
        <f>ROUND(('AT5_PLAN_vs_PRFM'!H36+'AT5C_Drought_PLAN_vs_PRFM '!H36)*2.61/100000,2)</f>
        <v>166.76</v>
      </c>
      <c r="M38" s="315">
        <f t="shared" si="10"/>
        <v>141.2</v>
      </c>
      <c r="N38" s="315">
        <f t="shared" si="2"/>
        <v>307.96</v>
      </c>
      <c r="O38" s="315">
        <f t="shared" si="3"/>
        <v>10.909999999999997</v>
      </c>
      <c r="P38" s="315">
        <f t="shared" si="4"/>
        <v>9.240000000000009</v>
      </c>
      <c r="Q38" s="315">
        <f t="shared" si="5"/>
        <v>20.150000000000006</v>
      </c>
      <c r="R38" s="70"/>
    </row>
    <row r="39" spans="1:18" ht="12.75">
      <c r="A39" s="581">
        <v>26</v>
      </c>
      <c r="B39" s="586" t="s">
        <v>744</v>
      </c>
      <c r="C39" s="323">
        <f>ROUND(('AT5_PLAN_vs_PRFM'!F37+'AT5C_Drought_PLAN_vs_PRFM '!F37)*2.61/100000,2)</f>
        <v>224.47</v>
      </c>
      <c r="D39" s="323">
        <f t="shared" si="6"/>
        <v>190.07</v>
      </c>
      <c r="E39" s="324">
        <f t="shared" si="7"/>
        <v>414.53999999999996</v>
      </c>
      <c r="F39" s="311">
        <v>25.71</v>
      </c>
      <c r="G39" s="315">
        <v>14.26</v>
      </c>
      <c r="H39" s="315">
        <f t="shared" si="0"/>
        <v>39.97</v>
      </c>
      <c r="I39" s="323">
        <f t="shared" si="8"/>
        <v>198.76</v>
      </c>
      <c r="J39" s="323">
        <f t="shared" si="9"/>
        <v>175.81</v>
      </c>
      <c r="K39" s="324">
        <f t="shared" si="1"/>
        <v>374.57</v>
      </c>
      <c r="L39" s="315">
        <f>ROUND(('AT5_PLAN_vs_PRFM'!H37+'AT5C_Drought_PLAN_vs_PRFM '!H37)*2.61/100000,2)</f>
        <v>165.39</v>
      </c>
      <c r="M39" s="315">
        <f t="shared" si="10"/>
        <v>140.04</v>
      </c>
      <c r="N39" s="315">
        <f t="shared" si="2"/>
        <v>305.42999999999995</v>
      </c>
      <c r="O39" s="315">
        <f t="shared" si="3"/>
        <v>59.08000000000001</v>
      </c>
      <c r="P39" s="315">
        <f t="shared" si="4"/>
        <v>50.03</v>
      </c>
      <c r="Q39" s="315">
        <f t="shared" si="5"/>
        <v>109.11000000000001</v>
      </c>
      <c r="R39" s="70"/>
    </row>
    <row r="40" spans="1:18" ht="12.75">
      <c r="A40" s="581">
        <v>27</v>
      </c>
      <c r="B40" s="586" t="s">
        <v>745</v>
      </c>
      <c r="C40" s="323">
        <f>ROUND(('AT5_PLAN_vs_PRFM'!F38+'AT5C_Drought_PLAN_vs_PRFM '!F38)*2.61/100000,2)</f>
        <v>445.25</v>
      </c>
      <c r="D40" s="323">
        <f t="shared" si="6"/>
        <v>377.01</v>
      </c>
      <c r="E40" s="324">
        <f t="shared" si="7"/>
        <v>822.26</v>
      </c>
      <c r="F40" s="311">
        <v>54.01</v>
      </c>
      <c r="G40" s="315">
        <v>29.91</v>
      </c>
      <c r="H40" s="315">
        <f t="shared" si="0"/>
        <v>83.92</v>
      </c>
      <c r="I40" s="323">
        <f t="shared" si="8"/>
        <v>391.24</v>
      </c>
      <c r="J40" s="323">
        <f t="shared" si="9"/>
        <v>347.09999999999997</v>
      </c>
      <c r="K40" s="324">
        <f t="shared" si="1"/>
        <v>738.3399999999999</v>
      </c>
      <c r="L40" s="315">
        <f>ROUND(('AT5_PLAN_vs_PRFM'!H38+'AT5C_Drought_PLAN_vs_PRFM '!H38)*2.61/100000,2)</f>
        <v>363.55</v>
      </c>
      <c r="M40" s="315">
        <f t="shared" si="10"/>
        <v>307.83</v>
      </c>
      <c r="N40" s="315">
        <f t="shared" si="2"/>
        <v>671.38</v>
      </c>
      <c r="O40" s="315">
        <f t="shared" si="3"/>
        <v>81.69999999999999</v>
      </c>
      <c r="P40" s="315">
        <f t="shared" si="4"/>
        <v>69.18</v>
      </c>
      <c r="Q40" s="315">
        <f t="shared" si="5"/>
        <v>150.88</v>
      </c>
      <c r="R40" s="70"/>
    </row>
    <row r="41" spans="1:17" ht="12.75">
      <c r="A41" s="3"/>
      <c r="B41" s="3" t="s">
        <v>19</v>
      </c>
      <c r="C41" s="322">
        <f aca="true" t="shared" si="11" ref="C41:L41">SUM(C14:C40)</f>
        <v>11713.61</v>
      </c>
      <c r="D41" s="322">
        <f t="shared" si="11"/>
        <v>9918.43</v>
      </c>
      <c r="E41" s="322">
        <f t="shared" si="11"/>
        <v>21632.04</v>
      </c>
      <c r="F41" s="322">
        <f t="shared" si="11"/>
        <v>1444.6399999999999</v>
      </c>
      <c r="G41" s="322">
        <f t="shared" si="11"/>
        <v>801</v>
      </c>
      <c r="H41" s="322">
        <f t="shared" si="11"/>
        <v>2245.64</v>
      </c>
      <c r="I41" s="322">
        <f t="shared" si="11"/>
        <v>10268.970000000001</v>
      </c>
      <c r="J41" s="322">
        <f t="shared" si="11"/>
        <v>9117.43</v>
      </c>
      <c r="K41" s="322">
        <f t="shared" si="11"/>
        <v>19386.399999999998</v>
      </c>
      <c r="L41" s="322">
        <f t="shared" si="11"/>
        <v>9791.79</v>
      </c>
      <c r="M41" s="322">
        <f>SUM(M14:M40)</f>
        <v>8291.13</v>
      </c>
      <c r="N41" s="322">
        <f>SUM(N14:N40)</f>
        <v>18082.920000000002</v>
      </c>
      <c r="O41" s="322">
        <f>SUM(O14:O40)</f>
        <v>1921.8199999999997</v>
      </c>
      <c r="P41" s="322">
        <f>SUM(P14:P40)</f>
        <v>1627.3</v>
      </c>
      <c r="Q41" s="322">
        <f>SUM(Q14:Q40)</f>
        <v>3549.12</v>
      </c>
    </row>
    <row r="42" spans="1:17" ht="12.75">
      <c r="A42" s="11"/>
      <c r="B42" s="30"/>
      <c r="C42" s="30"/>
      <c r="D42" s="3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5" ht="11.25" customHeight="1">
      <c r="A43" s="21" t="s">
        <v>827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7" ht="14.25" customHeight="1">
      <c r="A44" s="999" t="s">
        <v>366</v>
      </c>
      <c r="B44" s="999"/>
      <c r="C44" s="999"/>
      <c r="D44" s="999"/>
      <c r="E44" s="999"/>
      <c r="F44" s="999"/>
      <c r="G44" s="999"/>
      <c r="H44" s="999"/>
      <c r="I44" s="999"/>
      <c r="J44" s="999"/>
      <c r="K44" s="999"/>
      <c r="L44" s="999"/>
      <c r="M44" s="999"/>
      <c r="N44" s="999"/>
      <c r="O44" s="999"/>
      <c r="P44" s="999"/>
      <c r="Q44" s="999"/>
    </row>
    <row r="45" spans="1:17" ht="15.75" customHeight="1">
      <c r="A45" s="34"/>
      <c r="B45" s="41"/>
      <c r="C45" s="41"/>
      <c r="D45" s="41"/>
      <c r="E45" s="41"/>
      <c r="F45" s="41"/>
      <c r="G45" s="41"/>
      <c r="H45" s="41"/>
      <c r="I45" s="41"/>
      <c r="J45" s="41"/>
      <c r="K45" s="41"/>
      <c r="N45" s="41"/>
      <c r="O45" s="41"/>
      <c r="P45" s="41"/>
      <c r="Q45" s="41"/>
    </row>
    <row r="46" spans="1:17" ht="15.75" customHeight="1">
      <c r="A46" s="14" t="s">
        <v>12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881" t="s">
        <v>13</v>
      </c>
      <c r="O46" s="881"/>
      <c r="P46" s="83"/>
      <c r="Q46" s="14"/>
    </row>
    <row r="47" spans="1:17" ht="12.75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81" t="s">
        <v>14</v>
      </c>
      <c r="N47" s="881"/>
      <c r="O47" s="881"/>
      <c r="P47" s="881"/>
      <c r="Q47" s="83"/>
    </row>
    <row r="48" spans="1:17" ht="12.7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81" t="s">
        <v>637</v>
      </c>
      <c r="M48" s="881"/>
      <c r="N48" s="881"/>
      <c r="O48" s="881"/>
      <c r="P48" s="881"/>
      <c r="Q48" s="881"/>
    </row>
    <row r="49" spans="1:17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" t="s">
        <v>84</v>
      </c>
      <c r="O49" s="1"/>
      <c r="P49" s="1"/>
      <c r="Q49" s="1"/>
    </row>
  </sheetData>
  <sheetProtection/>
  <mergeCells count="16">
    <mergeCell ref="I11:K11"/>
    <mergeCell ref="O11:Q11"/>
    <mergeCell ref="L11:N11"/>
    <mergeCell ref="C11:E11"/>
    <mergeCell ref="F11:H11"/>
    <mergeCell ref="A44:Q44"/>
    <mergeCell ref="N46:O46"/>
    <mergeCell ref="M47:P47"/>
    <mergeCell ref="L48:Q48"/>
    <mergeCell ref="P1:Q1"/>
    <mergeCell ref="A2:Q2"/>
    <mergeCell ref="A3:Q3"/>
    <mergeCell ref="N10:Q10"/>
    <mergeCell ref="A6:Q6"/>
    <mergeCell ref="A11:A12"/>
    <mergeCell ref="B11:B12"/>
  </mergeCells>
  <printOptions horizontalCentered="1"/>
  <pageMargins left="0.7086614173228347" right="0.7086614173228347" top="0.64" bottom="0" header="0.62" footer="0.31496062992125984"/>
  <pageSetup fitToHeight="1" fitToWidth="1"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V48"/>
  <sheetViews>
    <sheetView view="pageBreakPreview" zoomScaleSheetLayoutView="100" zoomScalePageLayoutView="0" workbookViewId="0" topLeftCell="E11">
      <selection activeCell="S13" sqref="S13:U41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9.28125" style="15" customWidth="1"/>
    <col min="4" max="4" width="8.140625" style="15" customWidth="1"/>
    <col min="5" max="5" width="10.00390625" style="15" customWidth="1"/>
    <col min="6" max="6" width="8.57421875" style="15" customWidth="1"/>
    <col min="7" max="7" width="8.421875" style="15" customWidth="1"/>
    <col min="8" max="8" width="8.140625" style="15" customWidth="1"/>
    <col min="9" max="9" width="9.28125" style="15" customWidth="1"/>
    <col min="10" max="10" width="10.00390625" style="15" customWidth="1"/>
    <col min="11" max="11" width="9.57421875" style="15" customWidth="1"/>
    <col min="12" max="12" width="8.7109375" style="15" customWidth="1"/>
    <col min="13" max="13" width="9.8515625" style="15" customWidth="1"/>
    <col min="14" max="14" width="9.00390625" style="15" customWidth="1"/>
    <col min="15" max="15" width="10.140625" style="15" customWidth="1"/>
    <col min="16" max="16" width="11.00390625" style="15" customWidth="1"/>
    <col min="17" max="17" width="10.8515625" style="15" customWidth="1"/>
    <col min="18" max="18" width="9.140625" style="15" customWidth="1"/>
    <col min="19" max="21" width="9.57421875" style="15" bestFit="1" customWidth="1"/>
    <col min="22" max="16384" width="9.140625" style="15" customWidth="1"/>
  </cols>
  <sheetData>
    <row r="1" spans="8:19" ht="15">
      <c r="H1" s="35"/>
      <c r="I1" s="35"/>
      <c r="J1" s="35"/>
      <c r="K1" s="35"/>
      <c r="L1" s="35"/>
      <c r="M1" s="35"/>
      <c r="N1" s="35"/>
      <c r="O1" s="35"/>
      <c r="P1" s="967" t="s">
        <v>91</v>
      </c>
      <c r="Q1" s="967"/>
      <c r="R1" s="42"/>
      <c r="S1" s="42"/>
    </row>
    <row r="2" spans="1:19" ht="15">
      <c r="A2" s="969" t="s">
        <v>0</v>
      </c>
      <c r="B2" s="969"/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969"/>
      <c r="N2" s="969"/>
      <c r="O2" s="969"/>
      <c r="P2" s="969"/>
      <c r="Q2" s="969"/>
      <c r="R2" s="44"/>
      <c r="S2" s="44"/>
    </row>
    <row r="3" spans="1:19" ht="20.25">
      <c r="A3" s="902" t="s">
        <v>859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43"/>
      <c r="S3" s="43"/>
    </row>
    <row r="4" ht="10.5" customHeight="1"/>
    <row r="5" spans="1:17" ht="9" customHeight="1">
      <c r="A5" s="24"/>
      <c r="B5" s="24"/>
      <c r="C5" s="24"/>
      <c r="D5" s="24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3"/>
      <c r="Q5" s="21"/>
    </row>
    <row r="6" spans="2:15" ht="18" customHeight="1">
      <c r="B6" s="111"/>
      <c r="C6" s="111"/>
      <c r="D6" s="903" t="s">
        <v>1045</v>
      </c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</row>
    <row r="7" ht="5.25" customHeight="1"/>
    <row r="8" spans="1:17" ht="12.75">
      <c r="A8" s="35" t="s">
        <v>636</v>
      </c>
      <c r="B8" s="35"/>
      <c r="Q8" s="32" t="s">
        <v>23</v>
      </c>
    </row>
    <row r="9" spans="1:17" ht="15.75">
      <c r="A9" s="13"/>
      <c r="N9" s="980" t="s">
        <v>936</v>
      </c>
      <c r="O9" s="980"/>
      <c r="P9" s="980"/>
      <c r="Q9" s="980"/>
    </row>
    <row r="10" spans="1:17" ht="36.75" customHeight="1">
      <c r="A10" s="963" t="s">
        <v>2</v>
      </c>
      <c r="B10" s="963" t="s">
        <v>3</v>
      </c>
      <c r="C10" s="871" t="s">
        <v>950</v>
      </c>
      <c r="D10" s="871"/>
      <c r="E10" s="871"/>
      <c r="F10" s="871" t="s">
        <v>951</v>
      </c>
      <c r="G10" s="871"/>
      <c r="H10" s="871"/>
      <c r="I10" s="921" t="s">
        <v>372</v>
      </c>
      <c r="J10" s="870"/>
      <c r="K10" s="995"/>
      <c r="L10" s="921" t="s">
        <v>93</v>
      </c>
      <c r="M10" s="870"/>
      <c r="N10" s="995"/>
      <c r="O10" s="996" t="s">
        <v>949</v>
      </c>
      <c r="P10" s="997"/>
      <c r="Q10" s="998"/>
    </row>
    <row r="11" spans="1:17" ht="26.25" customHeight="1">
      <c r="A11" s="964"/>
      <c r="B11" s="964"/>
      <c r="C11" s="5" t="s">
        <v>113</v>
      </c>
      <c r="D11" s="5" t="s">
        <v>368</v>
      </c>
      <c r="E11" s="38" t="s">
        <v>19</v>
      </c>
      <c r="F11" s="5" t="s">
        <v>113</v>
      </c>
      <c r="G11" s="5" t="s">
        <v>369</v>
      </c>
      <c r="H11" s="38" t="s">
        <v>19</v>
      </c>
      <c r="I11" s="5" t="s">
        <v>113</v>
      </c>
      <c r="J11" s="5" t="s">
        <v>369</v>
      </c>
      <c r="K11" s="38" t="s">
        <v>19</v>
      </c>
      <c r="L11" s="5" t="s">
        <v>113</v>
      </c>
      <c r="M11" s="5" t="s">
        <v>369</v>
      </c>
      <c r="N11" s="38" t="s">
        <v>19</v>
      </c>
      <c r="O11" s="5" t="s">
        <v>254</v>
      </c>
      <c r="P11" s="5" t="s">
        <v>370</v>
      </c>
      <c r="Q11" s="5" t="s">
        <v>114</v>
      </c>
    </row>
    <row r="12" spans="1:17" s="70" customFormat="1" ht="12.75">
      <c r="A12" s="67">
        <v>1</v>
      </c>
      <c r="B12" s="67">
        <v>2</v>
      </c>
      <c r="C12" s="67">
        <v>3</v>
      </c>
      <c r="D12" s="67">
        <v>4</v>
      </c>
      <c r="E12" s="67">
        <v>5</v>
      </c>
      <c r="F12" s="67">
        <v>6</v>
      </c>
      <c r="G12" s="67">
        <v>7</v>
      </c>
      <c r="H12" s="67">
        <v>8</v>
      </c>
      <c r="I12" s="67">
        <v>9</v>
      </c>
      <c r="J12" s="67">
        <v>10</v>
      </c>
      <c r="K12" s="67">
        <v>11</v>
      </c>
      <c r="L12" s="67">
        <v>12</v>
      </c>
      <c r="M12" s="67">
        <v>13</v>
      </c>
      <c r="N12" s="67">
        <v>14</v>
      </c>
      <c r="O12" s="67">
        <v>15</v>
      </c>
      <c r="P12" s="67">
        <v>16</v>
      </c>
      <c r="Q12" s="67">
        <v>17</v>
      </c>
    </row>
    <row r="13" spans="1:22" s="70" customFormat="1" ht="12.75">
      <c r="A13" s="581">
        <v>1</v>
      </c>
      <c r="B13" s="586" t="s">
        <v>898</v>
      </c>
      <c r="C13" s="315">
        <f>ROUND(('AT5A_PLAN_vs_PRFM '!F12+'AT5D_Drought_PLAN_vs_PRFM  '!F12)*3.91/100000,2)</f>
        <v>308.44</v>
      </c>
      <c r="D13" s="315">
        <f>ROUND(('AT5A_PLAN_vs_PRFM '!F12+'AT5D_Drought_PLAN_vs_PRFM  '!F12)*2.6/100000,2)</f>
        <v>205.1</v>
      </c>
      <c r="E13" s="315">
        <f>SUM(C13:D13)</f>
        <v>513.54</v>
      </c>
      <c r="F13" s="313">
        <v>34.66</v>
      </c>
      <c r="G13" s="314">
        <v>12.65</v>
      </c>
      <c r="H13" s="315">
        <f>SUM(F13:G13)</f>
        <v>47.309999999999995</v>
      </c>
      <c r="I13" s="323">
        <f>C13-F13</f>
        <v>273.78</v>
      </c>
      <c r="J13" s="323">
        <f>D13-G13</f>
        <v>192.45</v>
      </c>
      <c r="K13" s="324">
        <f>SUM(I13:J13)</f>
        <v>466.22999999999996</v>
      </c>
      <c r="L13" s="315">
        <f>ROUND(('AT5A_PLAN_vs_PRFM '!H12+'AT5D_Drought_PLAN_vs_PRFM  '!H12)*3.91/100000,2)</f>
        <v>260.69</v>
      </c>
      <c r="M13" s="315">
        <f>ROUND(L13/3.91*2.6,2)</f>
        <v>173.35</v>
      </c>
      <c r="N13" s="315">
        <f>SUM(L13:M13)</f>
        <v>434.03999999999996</v>
      </c>
      <c r="O13" s="315">
        <f>F13+I13-L13</f>
        <v>47.74999999999994</v>
      </c>
      <c r="P13" s="315">
        <f>G13+J13-M13</f>
        <v>31.75</v>
      </c>
      <c r="Q13" s="315">
        <f>SUM(O13:P13)</f>
        <v>79.49999999999994</v>
      </c>
      <c r="S13" s="374"/>
      <c r="T13" s="374"/>
      <c r="U13" s="374"/>
      <c r="V13" s="374"/>
    </row>
    <row r="14" spans="1:22" s="70" customFormat="1" ht="12.75">
      <c r="A14" s="581">
        <v>2</v>
      </c>
      <c r="B14" s="586" t="s">
        <v>899</v>
      </c>
      <c r="C14" s="315">
        <f>ROUND(('AT5A_PLAN_vs_PRFM '!F13+'AT5D_Drought_PLAN_vs_PRFM  '!F13)*3.91/100000,2)</f>
        <v>339.78</v>
      </c>
      <c r="D14" s="315">
        <f>ROUND(('AT5A_PLAN_vs_PRFM '!F13+'AT5D_Drought_PLAN_vs_PRFM  '!F13)*2.6/100000,2)</f>
        <v>225.94</v>
      </c>
      <c r="E14" s="315">
        <f aca="true" t="shared" si="0" ref="E14:E39">SUM(C14:D14)</f>
        <v>565.72</v>
      </c>
      <c r="F14" s="313">
        <v>38.18</v>
      </c>
      <c r="G14" s="314">
        <v>13.93</v>
      </c>
      <c r="H14" s="315">
        <f aca="true" t="shared" si="1" ref="H14:H39">SUM(F14:G14)</f>
        <v>52.11</v>
      </c>
      <c r="I14" s="323">
        <f aca="true" t="shared" si="2" ref="I14:I39">C14-F14</f>
        <v>301.59999999999997</v>
      </c>
      <c r="J14" s="323">
        <f aca="true" t="shared" si="3" ref="J14:J39">D14-G14</f>
        <v>212.01</v>
      </c>
      <c r="K14" s="324">
        <f aca="true" t="shared" si="4" ref="K14:K39">SUM(I14:J14)</f>
        <v>513.6099999999999</v>
      </c>
      <c r="L14" s="315">
        <f>ROUND(('AT5A_PLAN_vs_PRFM '!H13+'AT5D_Drought_PLAN_vs_PRFM  '!H13)*3.91/100000,2)</f>
        <v>286.77</v>
      </c>
      <c r="M14" s="315">
        <f aca="true" t="shared" si="5" ref="M14:M39">ROUND(L14/3.91*2.6,2)</f>
        <v>190.69</v>
      </c>
      <c r="N14" s="315">
        <f aca="true" t="shared" si="6" ref="N14:N39">SUM(L14:M14)</f>
        <v>477.46</v>
      </c>
      <c r="O14" s="315">
        <f aca="true" t="shared" si="7" ref="O14:O39">F14+I14-L14</f>
        <v>53.00999999999999</v>
      </c>
      <c r="P14" s="315">
        <f aca="true" t="shared" si="8" ref="P14:P39">G14+J14-M14</f>
        <v>35.25</v>
      </c>
      <c r="Q14" s="315">
        <f aca="true" t="shared" si="9" ref="Q14:Q39">SUM(O14:P14)</f>
        <v>88.25999999999999</v>
      </c>
      <c r="S14" s="374"/>
      <c r="T14" s="374"/>
      <c r="U14" s="374"/>
      <c r="V14" s="374"/>
    </row>
    <row r="15" spans="1:22" s="70" customFormat="1" ht="12.75">
      <c r="A15" s="581">
        <v>3</v>
      </c>
      <c r="B15" s="586" t="s">
        <v>839</v>
      </c>
      <c r="C15" s="315">
        <f>ROUND(('AT5A_PLAN_vs_PRFM '!F14+'AT5D_Drought_PLAN_vs_PRFM  '!F14)*3.91/100000,2)</f>
        <v>294.83</v>
      </c>
      <c r="D15" s="315">
        <f>ROUND(('AT5A_PLAN_vs_PRFM '!F14+'AT5D_Drought_PLAN_vs_PRFM  '!F14)*2.6/100000,2)</f>
        <v>196.05</v>
      </c>
      <c r="E15" s="315">
        <f t="shared" si="0"/>
        <v>490.88</v>
      </c>
      <c r="F15" s="313">
        <v>33.13</v>
      </c>
      <c r="G15" s="314">
        <v>12.09</v>
      </c>
      <c r="H15" s="315">
        <f t="shared" si="1"/>
        <v>45.22</v>
      </c>
      <c r="I15" s="323">
        <f t="shared" si="2"/>
        <v>261.7</v>
      </c>
      <c r="J15" s="323">
        <f t="shared" si="3"/>
        <v>183.96</v>
      </c>
      <c r="K15" s="324">
        <f t="shared" si="4"/>
        <v>445.65999999999997</v>
      </c>
      <c r="L15" s="315">
        <f>ROUND(('AT5A_PLAN_vs_PRFM '!H14+'AT5D_Drought_PLAN_vs_PRFM  '!H14)*3.91/100000,2)</f>
        <v>244.58</v>
      </c>
      <c r="M15" s="315">
        <f t="shared" si="5"/>
        <v>162.64</v>
      </c>
      <c r="N15" s="315">
        <f t="shared" si="6"/>
        <v>407.22</v>
      </c>
      <c r="O15" s="315">
        <f t="shared" si="7"/>
        <v>50.24999999999997</v>
      </c>
      <c r="P15" s="315">
        <f t="shared" si="8"/>
        <v>33.410000000000025</v>
      </c>
      <c r="Q15" s="315">
        <f t="shared" si="9"/>
        <v>83.66</v>
      </c>
      <c r="S15" s="374"/>
      <c r="T15" s="374"/>
      <c r="U15" s="374"/>
      <c r="V15" s="374"/>
    </row>
    <row r="16" spans="1:22" s="70" customFormat="1" ht="12.75">
      <c r="A16" s="581">
        <v>4</v>
      </c>
      <c r="B16" s="586" t="s">
        <v>743</v>
      </c>
      <c r="C16" s="315">
        <f>ROUND(('AT5A_PLAN_vs_PRFM '!F15+'AT5D_Drought_PLAN_vs_PRFM  '!F15)*3.91/100000,2)</f>
        <v>992.32</v>
      </c>
      <c r="D16" s="315">
        <f>ROUND(('AT5A_PLAN_vs_PRFM '!F15+'AT5D_Drought_PLAN_vs_PRFM  '!F15)*2.6/100000,2)</f>
        <v>659.86</v>
      </c>
      <c r="E16" s="315">
        <f t="shared" si="0"/>
        <v>1652.18</v>
      </c>
      <c r="F16" s="313">
        <v>116.56</v>
      </c>
      <c r="G16" s="314">
        <v>42.53</v>
      </c>
      <c r="H16" s="315">
        <f t="shared" si="1"/>
        <v>159.09</v>
      </c>
      <c r="I16" s="323">
        <f t="shared" si="2"/>
        <v>875.76</v>
      </c>
      <c r="J16" s="323">
        <f t="shared" si="3"/>
        <v>617.33</v>
      </c>
      <c r="K16" s="324">
        <f t="shared" si="4"/>
        <v>1493.0900000000001</v>
      </c>
      <c r="L16" s="315">
        <f>ROUND(('AT5A_PLAN_vs_PRFM '!H15+'AT5D_Drought_PLAN_vs_PRFM  '!H15)*3.91/100000,2)</f>
        <v>691.34</v>
      </c>
      <c r="M16" s="315">
        <f t="shared" si="5"/>
        <v>459.71</v>
      </c>
      <c r="N16" s="315">
        <f t="shared" si="6"/>
        <v>1151.05</v>
      </c>
      <c r="O16" s="315">
        <f t="shared" si="7"/>
        <v>300.9799999999999</v>
      </c>
      <c r="P16" s="315">
        <f t="shared" si="8"/>
        <v>200.15000000000003</v>
      </c>
      <c r="Q16" s="315">
        <f t="shared" si="9"/>
        <v>501.12999999999994</v>
      </c>
      <c r="S16" s="374"/>
      <c r="T16" s="374"/>
      <c r="U16" s="374"/>
      <c r="V16" s="374"/>
    </row>
    <row r="17" spans="1:22" s="70" customFormat="1" ht="12.75">
      <c r="A17" s="581">
        <v>5</v>
      </c>
      <c r="B17" s="586" t="s">
        <v>748</v>
      </c>
      <c r="C17" s="315">
        <f>ROUND(('AT5A_PLAN_vs_PRFM '!F16+'AT5D_Drought_PLAN_vs_PRFM  '!F16)*3.91/100000,2)</f>
        <v>600.49</v>
      </c>
      <c r="D17" s="315">
        <f>ROUND(('AT5A_PLAN_vs_PRFM '!F16+'AT5D_Drought_PLAN_vs_PRFM  '!F16)*2.6/100000,2)</f>
        <v>399.3</v>
      </c>
      <c r="E17" s="315">
        <f t="shared" si="0"/>
        <v>999.79</v>
      </c>
      <c r="F17" s="313">
        <v>67.9</v>
      </c>
      <c r="G17" s="314">
        <v>24.77</v>
      </c>
      <c r="H17" s="315">
        <f t="shared" si="1"/>
        <v>92.67</v>
      </c>
      <c r="I17" s="323">
        <f t="shared" si="2"/>
        <v>532.59</v>
      </c>
      <c r="J17" s="323">
        <f t="shared" si="3"/>
        <v>374.53000000000003</v>
      </c>
      <c r="K17" s="324">
        <f t="shared" si="4"/>
        <v>907.1200000000001</v>
      </c>
      <c r="L17" s="315">
        <f>ROUND(('AT5A_PLAN_vs_PRFM '!H16+'AT5D_Drought_PLAN_vs_PRFM  '!H16)*3.91/100000,2)</f>
        <v>441.39</v>
      </c>
      <c r="M17" s="315">
        <f t="shared" si="5"/>
        <v>293.51</v>
      </c>
      <c r="N17" s="315">
        <f t="shared" si="6"/>
        <v>734.9</v>
      </c>
      <c r="O17" s="315">
        <f t="shared" si="7"/>
        <v>159.10000000000002</v>
      </c>
      <c r="P17" s="315">
        <f t="shared" si="8"/>
        <v>105.79000000000002</v>
      </c>
      <c r="Q17" s="315">
        <f t="shared" si="9"/>
        <v>264.89000000000004</v>
      </c>
      <c r="S17" s="374"/>
      <c r="T17" s="374"/>
      <c r="U17" s="374"/>
      <c r="V17" s="374"/>
    </row>
    <row r="18" spans="1:22" s="70" customFormat="1" ht="12.75">
      <c r="A18" s="581">
        <v>6</v>
      </c>
      <c r="B18" s="586" t="s">
        <v>747</v>
      </c>
      <c r="C18" s="315">
        <f>ROUND(('AT5A_PLAN_vs_PRFM '!F17+'AT5D_Drought_PLAN_vs_PRFM  '!F17)*3.91/100000,2)</f>
        <v>830.04</v>
      </c>
      <c r="D18" s="315">
        <f>ROUND(('AT5A_PLAN_vs_PRFM '!F17+'AT5D_Drought_PLAN_vs_PRFM  '!F17)*2.6/100000,2)</f>
        <v>551.94</v>
      </c>
      <c r="E18" s="315">
        <f t="shared" si="0"/>
        <v>1381.98</v>
      </c>
      <c r="F18" s="313">
        <v>93.27</v>
      </c>
      <c r="G18" s="314">
        <v>34.03</v>
      </c>
      <c r="H18" s="315">
        <f t="shared" si="1"/>
        <v>127.3</v>
      </c>
      <c r="I18" s="323">
        <f t="shared" si="2"/>
        <v>736.77</v>
      </c>
      <c r="J18" s="323">
        <f t="shared" si="3"/>
        <v>517.9100000000001</v>
      </c>
      <c r="K18" s="324">
        <f t="shared" si="4"/>
        <v>1254.68</v>
      </c>
      <c r="L18" s="315">
        <f>ROUND(('AT5A_PLAN_vs_PRFM '!H17+'AT5D_Drought_PLAN_vs_PRFM  '!H17)*3.91/100000,2)</f>
        <v>624.49</v>
      </c>
      <c r="M18" s="315">
        <f t="shared" si="5"/>
        <v>415.26</v>
      </c>
      <c r="N18" s="315">
        <f t="shared" si="6"/>
        <v>1039.75</v>
      </c>
      <c r="O18" s="315">
        <f t="shared" si="7"/>
        <v>205.54999999999995</v>
      </c>
      <c r="P18" s="315">
        <f t="shared" si="8"/>
        <v>136.68000000000006</v>
      </c>
      <c r="Q18" s="315">
        <f t="shared" si="9"/>
        <v>342.23</v>
      </c>
      <c r="S18" s="374"/>
      <c r="T18" s="374"/>
      <c r="U18" s="374"/>
      <c r="V18" s="374"/>
    </row>
    <row r="19" spans="1:22" s="70" customFormat="1" ht="12.75">
      <c r="A19" s="581">
        <v>7</v>
      </c>
      <c r="B19" s="586" t="s">
        <v>737</v>
      </c>
      <c r="C19" s="315">
        <f>ROUND(('AT5A_PLAN_vs_PRFM '!F18+'AT5D_Drought_PLAN_vs_PRFM  '!F18)*3.91/100000,2)</f>
        <v>511.76</v>
      </c>
      <c r="D19" s="315">
        <f>ROUND(('AT5A_PLAN_vs_PRFM '!F18+'AT5D_Drought_PLAN_vs_PRFM  '!F18)*2.6/100000,2)</f>
        <v>340.3</v>
      </c>
      <c r="E19" s="315">
        <f t="shared" si="0"/>
        <v>852.06</v>
      </c>
      <c r="F19" s="313">
        <v>57.5</v>
      </c>
      <c r="G19" s="314">
        <v>20.98</v>
      </c>
      <c r="H19" s="315">
        <f t="shared" si="1"/>
        <v>78.48</v>
      </c>
      <c r="I19" s="323">
        <f t="shared" si="2"/>
        <v>454.26</v>
      </c>
      <c r="J19" s="323">
        <f t="shared" si="3"/>
        <v>319.32</v>
      </c>
      <c r="K19" s="324">
        <f t="shared" si="4"/>
        <v>773.5799999999999</v>
      </c>
      <c r="L19" s="315">
        <f>ROUND(('AT5A_PLAN_vs_PRFM '!H18+'AT5D_Drought_PLAN_vs_PRFM  '!H18)*3.91/100000,2)</f>
        <v>355.63</v>
      </c>
      <c r="M19" s="315">
        <f t="shared" si="5"/>
        <v>236.48</v>
      </c>
      <c r="N19" s="315">
        <f t="shared" si="6"/>
        <v>592.11</v>
      </c>
      <c r="O19" s="315">
        <f t="shared" si="7"/>
        <v>156.13</v>
      </c>
      <c r="P19" s="315">
        <f t="shared" si="8"/>
        <v>103.82000000000002</v>
      </c>
      <c r="Q19" s="315">
        <f t="shared" si="9"/>
        <v>259.95000000000005</v>
      </c>
      <c r="S19" s="374"/>
      <c r="T19" s="374"/>
      <c r="U19" s="374"/>
      <c r="V19" s="374"/>
    </row>
    <row r="20" spans="1:22" s="70" customFormat="1" ht="12.75">
      <c r="A20" s="581">
        <v>8</v>
      </c>
      <c r="B20" s="586" t="s">
        <v>749</v>
      </c>
      <c r="C20" s="315">
        <f>ROUND(('AT5A_PLAN_vs_PRFM '!F19+'AT5D_Drought_PLAN_vs_PRFM  '!F19)*3.91/100000,2)</f>
        <v>775.41</v>
      </c>
      <c r="D20" s="315">
        <f>ROUND(('AT5A_PLAN_vs_PRFM '!F19+'AT5D_Drought_PLAN_vs_PRFM  '!F19)*2.6/100000,2)</f>
        <v>515.62</v>
      </c>
      <c r="E20" s="315">
        <f t="shared" si="0"/>
        <v>1291.03</v>
      </c>
      <c r="F20" s="313">
        <v>87.13</v>
      </c>
      <c r="G20" s="314">
        <v>31.79</v>
      </c>
      <c r="H20" s="315">
        <f t="shared" si="1"/>
        <v>118.91999999999999</v>
      </c>
      <c r="I20" s="323">
        <f t="shared" si="2"/>
        <v>688.28</v>
      </c>
      <c r="J20" s="323">
        <f t="shared" si="3"/>
        <v>483.83</v>
      </c>
      <c r="K20" s="324">
        <f t="shared" si="4"/>
        <v>1172.11</v>
      </c>
      <c r="L20" s="315">
        <f>ROUND(('AT5A_PLAN_vs_PRFM '!H19+'AT5D_Drought_PLAN_vs_PRFM  '!H19)*3.91/100000,2)</f>
        <v>559.55</v>
      </c>
      <c r="M20" s="315">
        <f t="shared" si="5"/>
        <v>372.08</v>
      </c>
      <c r="N20" s="315">
        <f t="shared" si="6"/>
        <v>931.6299999999999</v>
      </c>
      <c r="O20" s="315">
        <f t="shared" si="7"/>
        <v>215.86</v>
      </c>
      <c r="P20" s="315">
        <f t="shared" si="8"/>
        <v>143.54000000000002</v>
      </c>
      <c r="Q20" s="315">
        <f t="shared" si="9"/>
        <v>359.40000000000003</v>
      </c>
      <c r="S20" s="374"/>
      <c r="T20" s="374"/>
      <c r="U20" s="374"/>
      <c r="V20" s="374"/>
    </row>
    <row r="21" spans="1:22" s="70" customFormat="1" ht="12.75">
      <c r="A21" s="581">
        <v>9</v>
      </c>
      <c r="B21" s="586" t="s">
        <v>834</v>
      </c>
      <c r="C21" s="315">
        <f>ROUND(('AT5A_PLAN_vs_PRFM '!F20+'AT5D_Drought_PLAN_vs_PRFM  '!F20)*3.91/100000,2)</f>
        <v>323.23</v>
      </c>
      <c r="D21" s="315">
        <f>ROUND(('AT5A_PLAN_vs_PRFM '!F20+'AT5D_Drought_PLAN_vs_PRFM  '!F20)*2.6/100000,2)</f>
        <v>214.94</v>
      </c>
      <c r="E21" s="315">
        <f t="shared" si="0"/>
        <v>538.1700000000001</v>
      </c>
      <c r="F21" s="313">
        <v>36.95</v>
      </c>
      <c r="G21" s="314">
        <v>13.48</v>
      </c>
      <c r="H21" s="315">
        <f t="shared" si="1"/>
        <v>50.43000000000001</v>
      </c>
      <c r="I21" s="323">
        <f t="shared" si="2"/>
        <v>286.28000000000003</v>
      </c>
      <c r="J21" s="323">
        <f t="shared" si="3"/>
        <v>201.46</v>
      </c>
      <c r="K21" s="324">
        <f t="shared" si="4"/>
        <v>487.74</v>
      </c>
      <c r="L21" s="315">
        <f>ROUND(('AT5A_PLAN_vs_PRFM '!H20+'AT5D_Drought_PLAN_vs_PRFM  '!H20)*3.91/100000,2)</f>
        <v>275.15</v>
      </c>
      <c r="M21" s="315">
        <f t="shared" si="5"/>
        <v>182.96</v>
      </c>
      <c r="N21" s="315">
        <f t="shared" si="6"/>
        <v>458.11</v>
      </c>
      <c r="O21" s="315">
        <f t="shared" si="7"/>
        <v>48.08000000000004</v>
      </c>
      <c r="P21" s="315">
        <f t="shared" si="8"/>
        <v>31.97999999999999</v>
      </c>
      <c r="Q21" s="315">
        <f t="shared" si="9"/>
        <v>80.06000000000003</v>
      </c>
      <c r="S21" s="374"/>
      <c r="T21" s="374"/>
      <c r="U21" s="374"/>
      <c r="V21" s="374"/>
    </row>
    <row r="22" spans="1:22" s="70" customFormat="1" ht="12.75">
      <c r="A22" s="581">
        <v>10</v>
      </c>
      <c r="B22" s="586" t="s">
        <v>739</v>
      </c>
      <c r="C22" s="315">
        <f>ROUND(('AT5A_PLAN_vs_PRFM '!F21+'AT5D_Drought_PLAN_vs_PRFM  '!F21)*3.91/100000,2)</f>
        <v>77.48</v>
      </c>
      <c r="D22" s="315">
        <f>ROUND(('AT5A_PLAN_vs_PRFM '!F21+'AT5D_Drought_PLAN_vs_PRFM  '!F21)*2.6/100000,2)</f>
        <v>51.52</v>
      </c>
      <c r="E22" s="315">
        <f t="shared" si="0"/>
        <v>129</v>
      </c>
      <c r="F22" s="313">
        <v>8.7</v>
      </c>
      <c r="G22" s="314">
        <v>3.17</v>
      </c>
      <c r="H22" s="315">
        <f t="shared" si="1"/>
        <v>11.87</v>
      </c>
      <c r="I22" s="323">
        <f t="shared" si="2"/>
        <v>68.78</v>
      </c>
      <c r="J22" s="323">
        <f t="shared" si="3"/>
        <v>48.35</v>
      </c>
      <c r="K22" s="324">
        <f t="shared" si="4"/>
        <v>117.13</v>
      </c>
      <c r="L22" s="315">
        <f>ROUND(('AT5A_PLAN_vs_PRFM '!H21+'AT5D_Drought_PLAN_vs_PRFM  '!H21)*3.91/100000,2)</f>
        <v>60.52</v>
      </c>
      <c r="M22" s="315">
        <f t="shared" si="5"/>
        <v>40.24</v>
      </c>
      <c r="N22" s="315">
        <f t="shared" si="6"/>
        <v>100.76</v>
      </c>
      <c r="O22" s="315">
        <f t="shared" si="7"/>
        <v>16.96</v>
      </c>
      <c r="P22" s="315">
        <f t="shared" si="8"/>
        <v>11.280000000000001</v>
      </c>
      <c r="Q22" s="315">
        <f t="shared" si="9"/>
        <v>28.240000000000002</v>
      </c>
      <c r="S22" s="374"/>
      <c r="T22" s="374"/>
      <c r="U22" s="374"/>
      <c r="V22" s="374"/>
    </row>
    <row r="23" spans="1:22" s="70" customFormat="1" ht="12.75">
      <c r="A23" s="581">
        <v>11</v>
      </c>
      <c r="B23" s="586" t="s">
        <v>900</v>
      </c>
      <c r="C23" s="315">
        <f>ROUND(('AT5A_PLAN_vs_PRFM '!F22+'AT5D_Drought_PLAN_vs_PRFM  '!F22)*3.91/100000,2)</f>
        <v>85.52</v>
      </c>
      <c r="D23" s="315">
        <f>ROUND(('AT5A_PLAN_vs_PRFM '!F22+'AT5D_Drought_PLAN_vs_PRFM  '!F22)*2.6/100000,2)</f>
        <v>56.87</v>
      </c>
      <c r="E23" s="315">
        <f t="shared" si="0"/>
        <v>142.39</v>
      </c>
      <c r="F23" s="313">
        <v>8.98</v>
      </c>
      <c r="G23" s="314">
        <v>3.28</v>
      </c>
      <c r="H23" s="315">
        <f t="shared" si="1"/>
        <v>12.26</v>
      </c>
      <c r="I23" s="323">
        <f t="shared" si="2"/>
        <v>76.53999999999999</v>
      </c>
      <c r="J23" s="323">
        <f t="shared" si="3"/>
        <v>53.589999999999996</v>
      </c>
      <c r="K23" s="324">
        <f t="shared" si="4"/>
        <v>130.13</v>
      </c>
      <c r="L23" s="315">
        <f>ROUND(('AT5A_PLAN_vs_PRFM '!H22+'AT5D_Drought_PLAN_vs_PRFM  '!H22)*3.91/100000,2)</f>
        <v>60.68</v>
      </c>
      <c r="M23" s="315">
        <f t="shared" si="5"/>
        <v>40.35</v>
      </c>
      <c r="N23" s="315">
        <f t="shared" si="6"/>
        <v>101.03</v>
      </c>
      <c r="O23" s="315">
        <f t="shared" si="7"/>
        <v>24.839999999999996</v>
      </c>
      <c r="P23" s="315">
        <f t="shared" si="8"/>
        <v>16.519999999999996</v>
      </c>
      <c r="Q23" s="315">
        <f t="shared" si="9"/>
        <v>41.35999999999999</v>
      </c>
      <c r="S23" s="374"/>
      <c r="T23" s="374"/>
      <c r="U23" s="374"/>
      <c r="V23" s="374"/>
    </row>
    <row r="24" spans="1:22" ht="12.75">
      <c r="A24" s="581">
        <v>12</v>
      </c>
      <c r="B24" s="586" t="s">
        <v>731</v>
      </c>
      <c r="C24" s="315">
        <f>ROUND(('AT5A_PLAN_vs_PRFM '!F23+'AT5D_Drought_PLAN_vs_PRFM  '!F23)*3.91/100000,2)</f>
        <v>353.7</v>
      </c>
      <c r="D24" s="315">
        <f>ROUND(('AT5A_PLAN_vs_PRFM '!F23+'AT5D_Drought_PLAN_vs_PRFM  '!F23)*2.6/100000,2)</f>
        <v>235.19</v>
      </c>
      <c r="E24" s="315">
        <f t="shared" si="0"/>
        <v>588.89</v>
      </c>
      <c r="F24" s="271">
        <v>38.69</v>
      </c>
      <c r="G24" s="272">
        <v>14.12</v>
      </c>
      <c r="H24" s="315">
        <f t="shared" si="1"/>
        <v>52.809999999999995</v>
      </c>
      <c r="I24" s="323">
        <f t="shared" si="2"/>
        <v>315.01</v>
      </c>
      <c r="J24" s="323">
        <f t="shared" si="3"/>
        <v>221.07</v>
      </c>
      <c r="K24" s="324">
        <f t="shared" si="4"/>
        <v>536.0799999999999</v>
      </c>
      <c r="L24" s="315">
        <f>ROUND(('AT5A_PLAN_vs_PRFM '!H23+'AT5D_Drought_PLAN_vs_PRFM  '!H23)*3.91/100000,2)</f>
        <v>257.86</v>
      </c>
      <c r="M24" s="315">
        <f t="shared" si="5"/>
        <v>171.47</v>
      </c>
      <c r="N24" s="315">
        <f t="shared" si="6"/>
        <v>429.33000000000004</v>
      </c>
      <c r="O24" s="315">
        <f t="shared" si="7"/>
        <v>95.83999999999997</v>
      </c>
      <c r="P24" s="315">
        <f t="shared" si="8"/>
        <v>63.72</v>
      </c>
      <c r="Q24" s="315">
        <f t="shared" si="9"/>
        <v>159.55999999999997</v>
      </c>
      <c r="S24" s="374"/>
      <c r="T24" s="374"/>
      <c r="U24" s="374"/>
      <c r="V24" s="374"/>
    </row>
    <row r="25" spans="1:22" ht="12.75">
      <c r="A25" s="581">
        <v>13</v>
      </c>
      <c r="B25" s="586" t="s">
        <v>742</v>
      </c>
      <c r="C25" s="315">
        <f>ROUND(('AT5A_PLAN_vs_PRFM '!F24+'AT5D_Drought_PLAN_vs_PRFM  '!F24)*3.91/100000,2)</f>
        <v>392.88</v>
      </c>
      <c r="D25" s="315">
        <f>ROUND(('AT5A_PLAN_vs_PRFM '!F24+'AT5D_Drought_PLAN_vs_PRFM  '!F24)*2.6/100000,2)</f>
        <v>261.25</v>
      </c>
      <c r="E25" s="315">
        <f t="shared" si="0"/>
        <v>654.13</v>
      </c>
      <c r="F25" s="271">
        <v>40.98</v>
      </c>
      <c r="G25" s="272">
        <v>14.95</v>
      </c>
      <c r="H25" s="315">
        <f t="shared" si="1"/>
        <v>55.92999999999999</v>
      </c>
      <c r="I25" s="323">
        <f t="shared" si="2"/>
        <v>351.9</v>
      </c>
      <c r="J25" s="323">
        <f t="shared" si="3"/>
        <v>246.3</v>
      </c>
      <c r="K25" s="324">
        <f t="shared" si="4"/>
        <v>598.2</v>
      </c>
      <c r="L25" s="315">
        <f>ROUND(('AT5A_PLAN_vs_PRFM '!H24+'AT5D_Drought_PLAN_vs_PRFM  '!H24)*3.91/100000,2)</f>
        <v>304.41</v>
      </c>
      <c r="M25" s="315">
        <f t="shared" si="5"/>
        <v>202.42</v>
      </c>
      <c r="N25" s="315">
        <f t="shared" si="6"/>
        <v>506.83000000000004</v>
      </c>
      <c r="O25" s="315">
        <f t="shared" si="7"/>
        <v>88.46999999999997</v>
      </c>
      <c r="P25" s="315">
        <f t="shared" si="8"/>
        <v>58.83000000000001</v>
      </c>
      <c r="Q25" s="315">
        <f t="shared" si="9"/>
        <v>147.29999999999998</v>
      </c>
      <c r="S25" s="374"/>
      <c r="T25" s="374"/>
      <c r="U25" s="374"/>
      <c r="V25" s="374"/>
    </row>
    <row r="26" spans="1:22" ht="12.75">
      <c r="A26" s="581">
        <v>14</v>
      </c>
      <c r="B26" s="586" t="s">
        <v>740</v>
      </c>
      <c r="C26" s="315">
        <f>ROUND(('AT5A_PLAN_vs_PRFM '!F25+'AT5D_Drought_PLAN_vs_PRFM  '!F25)*3.91/100000,2)</f>
        <v>511.55</v>
      </c>
      <c r="D26" s="315">
        <f>ROUND(('AT5A_PLAN_vs_PRFM '!F25+'AT5D_Drought_PLAN_vs_PRFM  '!F25)*2.6/100000,2)</f>
        <v>340.16</v>
      </c>
      <c r="E26" s="315">
        <f t="shared" si="0"/>
        <v>851.71</v>
      </c>
      <c r="F26" s="271">
        <v>57.48</v>
      </c>
      <c r="G26" s="272">
        <v>20.97</v>
      </c>
      <c r="H26" s="315">
        <f t="shared" si="1"/>
        <v>78.44999999999999</v>
      </c>
      <c r="I26" s="323">
        <f t="shared" si="2"/>
        <v>454.07</v>
      </c>
      <c r="J26" s="323">
        <f t="shared" si="3"/>
        <v>319.19000000000005</v>
      </c>
      <c r="K26" s="324">
        <f t="shared" si="4"/>
        <v>773.26</v>
      </c>
      <c r="L26" s="315">
        <f>ROUND(('AT5A_PLAN_vs_PRFM '!H25+'AT5D_Drought_PLAN_vs_PRFM  '!H25)*3.91/100000,2)</f>
        <v>345.37</v>
      </c>
      <c r="M26" s="315">
        <f t="shared" si="5"/>
        <v>229.66</v>
      </c>
      <c r="N26" s="315">
        <f t="shared" si="6"/>
        <v>575.03</v>
      </c>
      <c r="O26" s="315">
        <f t="shared" si="7"/>
        <v>166.18</v>
      </c>
      <c r="P26" s="315">
        <f t="shared" si="8"/>
        <v>110.50000000000009</v>
      </c>
      <c r="Q26" s="315">
        <f t="shared" si="9"/>
        <v>276.68000000000006</v>
      </c>
      <c r="S26" s="374"/>
      <c r="T26" s="374"/>
      <c r="U26" s="374"/>
      <c r="V26" s="374"/>
    </row>
    <row r="27" spans="1:22" ht="12.75">
      <c r="A27" s="581">
        <v>15</v>
      </c>
      <c r="B27" s="586" t="s">
        <v>734</v>
      </c>
      <c r="C27" s="315">
        <f>ROUND(('AT5A_PLAN_vs_PRFM '!F26+'AT5D_Drought_PLAN_vs_PRFM  '!F26)*3.91/100000,2)</f>
        <v>299.19</v>
      </c>
      <c r="D27" s="315">
        <f>ROUND(('AT5A_PLAN_vs_PRFM '!F26+'AT5D_Drought_PLAN_vs_PRFM  '!F26)*2.6/100000,2)</f>
        <v>198.95</v>
      </c>
      <c r="E27" s="315">
        <f t="shared" si="0"/>
        <v>498.14</v>
      </c>
      <c r="F27" s="271">
        <v>33.62</v>
      </c>
      <c r="G27" s="272">
        <v>12.27</v>
      </c>
      <c r="H27" s="315">
        <f t="shared" si="1"/>
        <v>45.89</v>
      </c>
      <c r="I27" s="323">
        <f t="shared" si="2"/>
        <v>265.57</v>
      </c>
      <c r="J27" s="323">
        <f t="shared" si="3"/>
        <v>186.67999999999998</v>
      </c>
      <c r="K27" s="324">
        <f t="shared" si="4"/>
        <v>452.25</v>
      </c>
      <c r="L27" s="315">
        <f>ROUND(('AT5A_PLAN_vs_PRFM '!H26+'AT5D_Drought_PLAN_vs_PRFM  '!H26)*3.91/100000,2)</f>
        <v>234.17</v>
      </c>
      <c r="M27" s="315">
        <f t="shared" si="5"/>
        <v>155.71</v>
      </c>
      <c r="N27" s="315">
        <f t="shared" si="6"/>
        <v>389.88</v>
      </c>
      <c r="O27" s="315">
        <f t="shared" si="7"/>
        <v>65.02000000000001</v>
      </c>
      <c r="P27" s="315">
        <f t="shared" si="8"/>
        <v>43.23999999999998</v>
      </c>
      <c r="Q27" s="315">
        <f t="shared" si="9"/>
        <v>108.25999999999999</v>
      </c>
      <c r="S27" s="374"/>
      <c r="T27" s="374"/>
      <c r="U27" s="374"/>
      <c r="V27" s="374"/>
    </row>
    <row r="28" spans="1:22" ht="12.75">
      <c r="A28" s="581">
        <v>16</v>
      </c>
      <c r="B28" s="586" t="s">
        <v>741</v>
      </c>
      <c r="C28" s="315">
        <f>ROUND(('AT5A_PLAN_vs_PRFM '!F27+'AT5D_Drought_PLAN_vs_PRFM  '!F27)*3.91/100000,2)</f>
        <v>814.9</v>
      </c>
      <c r="D28" s="315">
        <f>ROUND(('AT5A_PLAN_vs_PRFM '!F27+'AT5D_Drought_PLAN_vs_PRFM  '!F27)*2.6/100000,2)</f>
        <v>541.88</v>
      </c>
      <c r="E28" s="315">
        <f t="shared" si="0"/>
        <v>1356.78</v>
      </c>
      <c r="F28" s="271">
        <v>91.56</v>
      </c>
      <c r="G28" s="272">
        <v>33.41</v>
      </c>
      <c r="H28" s="315">
        <f t="shared" si="1"/>
        <v>124.97</v>
      </c>
      <c r="I28" s="323">
        <f t="shared" si="2"/>
        <v>723.3399999999999</v>
      </c>
      <c r="J28" s="323">
        <f t="shared" si="3"/>
        <v>508.47</v>
      </c>
      <c r="K28" s="324">
        <f t="shared" si="4"/>
        <v>1231.81</v>
      </c>
      <c r="L28" s="315">
        <f>ROUND(('AT5A_PLAN_vs_PRFM '!H27+'AT5D_Drought_PLAN_vs_PRFM  '!H27)*3.91/100000,2)</f>
        <v>591.37</v>
      </c>
      <c r="M28" s="315">
        <f t="shared" si="5"/>
        <v>393.24</v>
      </c>
      <c r="N28" s="315">
        <f t="shared" si="6"/>
        <v>984.61</v>
      </c>
      <c r="O28" s="315">
        <f t="shared" si="7"/>
        <v>223.52999999999986</v>
      </c>
      <c r="P28" s="315">
        <f t="shared" si="8"/>
        <v>148.64</v>
      </c>
      <c r="Q28" s="315">
        <f t="shared" si="9"/>
        <v>372.16999999999985</v>
      </c>
      <c r="S28" s="374"/>
      <c r="T28" s="374"/>
      <c r="U28" s="374"/>
      <c r="V28" s="374"/>
    </row>
    <row r="29" spans="1:22" ht="12.75">
      <c r="A29" s="581">
        <v>17</v>
      </c>
      <c r="B29" s="586" t="s">
        <v>733</v>
      </c>
      <c r="C29" s="315">
        <f>ROUND(('AT5A_PLAN_vs_PRFM '!F28+'AT5D_Drought_PLAN_vs_PRFM  '!F28)*3.91/100000,2)</f>
        <v>269.22</v>
      </c>
      <c r="D29" s="315">
        <f>ROUND(('AT5A_PLAN_vs_PRFM '!F28+'AT5D_Drought_PLAN_vs_PRFM  '!F28)*2.6/100000,2)</f>
        <v>179.02</v>
      </c>
      <c r="E29" s="315">
        <f t="shared" si="0"/>
        <v>448.24</v>
      </c>
      <c r="F29" s="271">
        <v>30.25</v>
      </c>
      <c r="G29" s="272">
        <v>11.04</v>
      </c>
      <c r="H29" s="315">
        <f t="shared" si="1"/>
        <v>41.29</v>
      </c>
      <c r="I29" s="323">
        <f t="shared" si="2"/>
        <v>238.97000000000003</v>
      </c>
      <c r="J29" s="323">
        <f t="shared" si="3"/>
        <v>167.98000000000002</v>
      </c>
      <c r="K29" s="324">
        <f t="shared" si="4"/>
        <v>406.95000000000005</v>
      </c>
      <c r="L29" s="315">
        <f>ROUND(('AT5A_PLAN_vs_PRFM '!H28+'AT5D_Drought_PLAN_vs_PRFM  '!H28)*3.91/100000,2)</f>
        <v>213.63</v>
      </c>
      <c r="M29" s="315">
        <f t="shared" si="5"/>
        <v>142.06</v>
      </c>
      <c r="N29" s="315">
        <f t="shared" si="6"/>
        <v>355.69</v>
      </c>
      <c r="O29" s="315">
        <f t="shared" si="7"/>
        <v>55.59000000000003</v>
      </c>
      <c r="P29" s="315">
        <f t="shared" si="8"/>
        <v>36.96000000000001</v>
      </c>
      <c r="Q29" s="315">
        <f t="shared" si="9"/>
        <v>92.55000000000004</v>
      </c>
      <c r="S29" s="374"/>
      <c r="T29" s="374"/>
      <c r="U29" s="374"/>
      <c r="V29" s="374"/>
    </row>
    <row r="30" spans="1:22" ht="12.75">
      <c r="A30" s="581">
        <v>18</v>
      </c>
      <c r="B30" s="586" t="s">
        <v>735</v>
      </c>
      <c r="C30" s="315">
        <f>ROUND(('AT5A_PLAN_vs_PRFM '!F29+'AT5D_Drought_PLAN_vs_PRFM  '!F29)*3.91/100000,2)</f>
        <v>650.79</v>
      </c>
      <c r="D30" s="315">
        <f>ROUND(('AT5A_PLAN_vs_PRFM '!F29+'AT5D_Drought_PLAN_vs_PRFM  '!F29)*2.6/100000,2)</f>
        <v>432.75</v>
      </c>
      <c r="E30" s="315">
        <f t="shared" si="0"/>
        <v>1083.54</v>
      </c>
      <c r="F30" s="271">
        <v>76.29</v>
      </c>
      <c r="G30" s="272">
        <v>27.84</v>
      </c>
      <c r="H30" s="315">
        <f t="shared" si="1"/>
        <v>104.13000000000001</v>
      </c>
      <c r="I30" s="323">
        <f t="shared" si="2"/>
        <v>574.5</v>
      </c>
      <c r="J30" s="323">
        <f t="shared" si="3"/>
        <v>404.91</v>
      </c>
      <c r="K30" s="324">
        <f t="shared" si="4"/>
        <v>979.4100000000001</v>
      </c>
      <c r="L30" s="315">
        <f>ROUND(('AT5A_PLAN_vs_PRFM '!H29+'AT5D_Drought_PLAN_vs_PRFM  '!H29)*3.91/100000,2)</f>
        <v>509.13</v>
      </c>
      <c r="M30" s="315">
        <f t="shared" si="5"/>
        <v>338.55</v>
      </c>
      <c r="N30" s="315">
        <f t="shared" si="6"/>
        <v>847.6800000000001</v>
      </c>
      <c r="O30" s="315">
        <f t="shared" si="7"/>
        <v>141.65999999999997</v>
      </c>
      <c r="P30" s="315">
        <f t="shared" si="8"/>
        <v>94.19999999999999</v>
      </c>
      <c r="Q30" s="315">
        <f t="shared" si="9"/>
        <v>235.85999999999996</v>
      </c>
      <c r="S30" s="374"/>
      <c r="T30" s="374"/>
      <c r="U30" s="374"/>
      <c r="V30" s="374"/>
    </row>
    <row r="31" spans="1:22" ht="12.75">
      <c r="A31" s="581">
        <v>19</v>
      </c>
      <c r="B31" s="586" t="s">
        <v>732</v>
      </c>
      <c r="C31" s="315">
        <f>ROUND(('AT5A_PLAN_vs_PRFM '!F30+'AT5D_Drought_PLAN_vs_PRFM  '!F30)*3.91/100000,2)</f>
        <v>421.13</v>
      </c>
      <c r="D31" s="315">
        <f>ROUND(('AT5A_PLAN_vs_PRFM '!F30+'AT5D_Drought_PLAN_vs_PRFM  '!F30)*2.6/100000,2)</f>
        <v>280.04</v>
      </c>
      <c r="E31" s="315">
        <f t="shared" si="0"/>
        <v>701.1700000000001</v>
      </c>
      <c r="F31" s="271">
        <v>48.37</v>
      </c>
      <c r="G31" s="272">
        <v>17.65</v>
      </c>
      <c r="H31" s="315">
        <f t="shared" si="1"/>
        <v>66.02</v>
      </c>
      <c r="I31" s="323">
        <f t="shared" si="2"/>
        <v>372.76</v>
      </c>
      <c r="J31" s="323">
        <f t="shared" si="3"/>
        <v>262.39000000000004</v>
      </c>
      <c r="K31" s="324">
        <f t="shared" si="4"/>
        <v>635.1500000000001</v>
      </c>
      <c r="L31" s="315">
        <f>ROUND(('AT5A_PLAN_vs_PRFM '!H30+'AT5D_Drought_PLAN_vs_PRFM  '!H30)*3.91/100000,2)</f>
        <v>344.84</v>
      </c>
      <c r="M31" s="315">
        <f t="shared" si="5"/>
        <v>229.31</v>
      </c>
      <c r="N31" s="315">
        <f t="shared" si="6"/>
        <v>574.15</v>
      </c>
      <c r="O31" s="315">
        <f t="shared" si="7"/>
        <v>76.29000000000002</v>
      </c>
      <c r="P31" s="315">
        <f t="shared" si="8"/>
        <v>50.73000000000002</v>
      </c>
      <c r="Q31" s="315">
        <f t="shared" si="9"/>
        <v>127.02000000000004</v>
      </c>
      <c r="S31" s="374"/>
      <c r="T31" s="374"/>
      <c r="U31" s="374"/>
      <c r="V31" s="374"/>
    </row>
    <row r="32" spans="1:22" ht="12.75">
      <c r="A32" s="581">
        <v>20</v>
      </c>
      <c r="B32" s="586" t="s">
        <v>836</v>
      </c>
      <c r="C32" s="315">
        <f>ROUND(('AT5A_PLAN_vs_PRFM '!F31+'AT5D_Drought_PLAN_vs_PRFM  '!F31)*3.91/100000,2)</f>
        <v>374.23</v>
      </c>
      <c r="D32" s="315">
        <f>ROUND(('AT5A_PLAN_vs_PRFM '!F31+'AT5D_Drought_PLAN_vs_PRFM  '!F31)*2.6/100000,2)</f>
        <v>248.85</v>
      </c>
      <c r="E32" s="315">
        <f t="shared" si="0"/>
        <v>623.08</v>
      </c>
      <c r="F32" s="271">
        <v>39.94</v>
      </c>
      <c r="G32" s="272">
        <v>14.57</v>
      </c>
      <c r="H32" s="315">
        <f t="shared" si="1"/>
        <v>54.51</v>
      </c>
      <c r="I32" s="323">
        <f t="shared" si="2"/>
        <v>334.29</v>
      </c>
      <c r="J32" s="323">
        <f t="shared" si="3"/>
        <v>234.28</v>
      </c>
      <c r="K32" s="324">
        <f t="shared" si="4"/>
        <v>568.57</v>
      </c>
      <c r="L32" s="315">
        <f>ROUND(('AT5A_PLAN_vs_PRFM '!H31+'AT5D_Drought_PLAN_vs_PRFM  '!H31)*3.91/100000,2)</f>
        <v>296.03</v>
      </c>
      <c r="M32" s="315">
        <f t="shared" si="5"/>
        <v>196.85</v>
      </c>
      <c r="N32" s="315">
        <f t="shared" si="6"/>
        <v>492.88</v>
      </c>
      <c r="O32" s="315">
        <f t="shared" si="7"/>
        <v>78.20000000000005</v>
      </c>
      <c r="P32" s="315">
        <f t="shared" si="8"/>
        <v>52</v>
      </c>
      <c r="Q32" s="315">
        <f t="shared" si="9"/>
        <v>130.20000000000005</v>
      </c>
      <c r="S32" s="374"/>
      <c r="T32" s="374"/>
      <c r="U32" s="374"/>
      <c r="V32" s="374"/>
    </row>
    <row r="33" spans="1:22" ht="12.75">
      <c r="A33" s="581">
        <v>21</v>
      </c>
      <c r="B33" s="586" t="s">
        <v>729</v>
      </c>
      <c r="C33" s="315">
        <f>ROUND(('AT5A_PLAN_vs_PRFM '!F32+'AT5D_Drought_PLAN_vs_PRFM  '!F32)*3.91/100000,2)</f>
        <v>505.08</v>
      </c>
      <c r="D33" s="315">
        <f>ROUND(('AT5A_PLAN_vs_PRFM '!F32+'AT5D_Drought_PLAN_vs_PRFM  '!F32)*2.6/100000,2)</f>
        <v>335.86</v>
      </c>
      <c r="E33" s="315">
        <f t="shared" si="0"/>
        <v>840.94</v>
      </c>
      <c r="F33" s="271">
        <v>56.75</v>
      </c>
      <c r="G33" s="272">
        <v>20.71</v>
      </c>
      <c r="H33" s="315">
        <f t="shared" si="1"/>
        <v>77.46000000000001</v>
      </c>
      <c r="I33" s="323">
        <f t="shared" si="2"/>
        <v>448.33</v>
      </c>
      <c r="J33" s="323">
        <f t="shared" si="3"/>
        <v>315.15000000000003</v>
      </c>
      <c r="K33" s="324">
        <f t="shared" si="4"/>
        <v>763.48</v>
      </c>
      <c r="L33" s="315">
        <f>ROUND(('AT5A_PLAN_vs_PRFM '!H32+'AT5D_Drought_PLAN_vs_PRFM  '!H32)*3.91/100000,2)</f>
        <v>378.47</v>
      </c>
      <c r="M33" s="315">
        <f t="shared" si="5"/>
        <v>251.67</v>
      </c>
      <c r="N33" s="315">
        <f t="shared" si="6"/>
        <v>630.14</v>
      </c>
      <c r="O33" s="315">
        <f t="shared" si="7"/>
        <v>126.60999999999996</v>
      </c>
      <c r="P33" s="315">
        <f t="shared" si="8"/>
        <v>84.19000000000003</v>
      </c>
      <c r="Q33" s="315">
        <f t="shared" si="9"/>
        <v>210.79999999999998</v>
      </c>
      <c r="S33" s="374"/>
      <c r="T33" s="374"/>
      <c r="U33" s="374"/>
      <c r="V33" s="374"/>
    </row>
    <row r="34" spans="1:22" ht="12.75">
      <c r="A34" s="581">
        <v>22</v>
      </c>
      <c r="B34" s="586" t="s">
        <v>746</v>
      </c>
      <c r="C34" s="315">
        <f>ROUND(('AT5A_PLAN_vs_PRFM '!F33+'AT5D_Drought_PLAN_vs_PRFM  '!F33)*3.91/100000,2)</f>
        <v>563.28</v>
      </c>
      <c r="D34" s="315">
        <f>ROUND(('AT5A_PLAN_vs_PRFM '!F33+'AT5D_Drought_PLAN_vs_PRFM  '!F33)*2.6/100000,2)</f>
        <v>374.56</v>
      </c>
      <c r="E34" s="315">
        <f t="shared" si="0"/>
        <v>937.8399999999999</v>
      </c>
      <c r="F34" s="271">
        <v>65.4</v>
      </c>
      <c r="G34" s="272">
        <v>23.86</v>
      </c>
      <c r="H34" s="315">
        <f t="shared" si="1"/>
        <v>89.26</v>
      </c>
      <c r="I34" s="323">
        <f t="shared" si="2"/>
        <v>497.88</v>
      </c>
      <c r="J34" s="323">
        <f t="shared" si="3"/>
        <v>350.7</v>
      </c>
      <c r="K34" s="324">
        <f t="shared" si="4"/>
        <v>848.5799999999999</v>
      </c>
      <c r="L34" s="315">
        <f>ROUND(('AT5A_PLAN_vs_PRFM '!H33+'AT5D_Drought_PLAN_vs_PRFM  '!H33)*3.91/100000,2)</f>
        <v>434.95</v>
      </c>
      <c r="M34" s="315">
        <f t="shared" si="5"/>
        <v>289.23</v>
      </c>
      <c r="N34" s="315">
        <f t="shared" si="6"/>
        <v>724.1800000000001</v>
      </c>
      <c r="O34" s="315">
        <f t="shared" si="7"/>
        <v>128.32999999999998</v>
      </c>
      <c r="P34" s="315">
        <f t="shared" si="8"/>
        <v>85.32999999999998</v>
      </c>
      <c r="Q34" s="315">
        <f t="shared" si="9"/>
        <v>213.65999999999997</v>
      </c>
      <c r="S34" s="374"/>
      <c r="T34" s="374"/>
      <c r="U34" s="374"/>
      <c r="V34" s="374"/>
    </row>
    <row r="35" spans="1:22" ht="12.75">
      <c r="A35" s="581">
        <v>23</v>
      </c>
      <c r="B35" s="586" t="s">
        <v>738</v>
      </c>
      <c r="C35" s="315">
        <f>ROUND(('AT5A_PLAN_vs_PRFM '!F34+'AT5D_Drought_PLAN_vs_PRFM  '!F34)*3.91/100000,2)</f>
        <v>413.86</v>
      </c>
      <c r="D35" s="315">
        <f>ROUND(('AT5A_PLAN_vs_PRFM '!F34+'AT5D_Drought_PLAN_vs_PRFM  '!F34)*2.6/100000,2)</f>
        <v>275.2</v>
      </c>
      <c r="E35" s="315">
        <f t="shared" si="0"/>
        <v>689.06</v>
      </c>
      <c r="F35" s="271">
        <v>42.28</v>
      </c>
      <c r="G35" s="272">
        <v>15.43</v>
      </c>
      <c r="H35" s="315">
        <f t="shared" si="1"/>
        <v>57.71</v>
      </c>
      <c r="I35" s="323">
        <f t="shared" si="2"/>
        <v>371.58000000000004</v>
      </c>
      <c r="J35" s="323">
        <f t="shared" si="3"/>
        <v>259.77</v>
      </c>
      <c r="K35" s="324">
        <f t="shared" si="4"/>
        <v>631.35</v>
      </c>
      <c r="L35" s="315">
        <f>ROUND(('AT5A_PLAN_vs_PRFM '!H34+'AT5D_Drought_PLAN_vs_PRFM  '!H34)*3.91/100000,2)</f>
        <v>299.8</v>
      </c>
      <c r="M35" s="315">
        <f t="shared" si="5"/>
        <v>199.36</v>
      </c>
      <c r="N35" s="315">
        <f t="shared" si="6"/>
        <v>499.16</v>
      </c>
      <c r="O35" s="315">
        <f t="shared" si="7"/>
        <v>114.06</v>
      </c>
      <c r="P35" s="315">
        <f t="shared" si="8"/>
        <v>75.83999999999997</v>
      </c>
      <c r="Q35" s="315">
        <f t="shared" si="9"/>
        <v>189.89999999999998</v>
      </c>
      <c r="S35" s="374"/>
      <c r="T35" s="374"/>
      <c r="U35" s="374"/>
      <c r="V35" s="374"/>
    </row>
    <row r="36" spans="1:22" ht="12.75">
      <c r="A36" s="581">
        <v>24</v>
      </c>
      <c r="B36" s="586" t="s">
        <v>730</v>
      </c>
      <c r="C36" s="315">
        <f>ROUND(('AT5A_PLAN_vs_PRFM '!F35+'AT5D_Drought_PLAN_vs_PRFM  '!F35)*3.91/100000,2)</f>
        <v>413.65</v>
      </c>
      <c r="D36" s="315">
        <f>ROUND(('AT5A_PLAN_vs_PRFM '!F35+'AT5D_Drought_PLAN_vs_PRFM  '!F35)*2.6/100000,2)</f>
        <v>275.06</v>
      </c>
      <c r="E36" s="315">
        <f t="shared" si="0"/>
        <v>688.71</v>
      </c>
      <c r="F36" s="271">
        <v>45.42</v>
      </c>
      <c r="G36" s="272">
        <v>16.57</v>
      </c>
      <c r="H36" s="315">
        <f t="shared" si="1"/>
        <v>61.99</v>
      </c>
      <c r="I36" s="323">
        <f t="shared" si="2"/>
        <v>368.22999999999996</v>
      </c>
      <c r="J36" s="323">
        <f t="shared" si="3"/>
        <v>258.49</v>
      </c>
      <c r="K36" s="324">
        <f t="shared" si="4"/>
        <v>626.72</v>
      </c>
      <c r="L36" s="315">
        <f>ROUND(('AT5A_PLAN_vs_PRFM '!H35+'AT5D_Drought_PLAN_vs_PRFM  '!H35)*3.91/100000,2)</f>
        <v>327.71</v>
      </c>
      <c r="M36" s="315">
        <f t="shared" si="5"/>
        <v>217.91</v>
      </c>
      <c r="N36" s="315">
        <f t="shared" si="6"/>
        <v>545.62</v>
      </c>
      <c r="O36" s="315">
        <f t="shared" si="7"/>
        <v>85.94</v>
      </c>
      <c r="P36" s="315">
        <f t="shared" si="8"/>
        <v>57.150000000000006</v>
      </c>
      <c r="Q36" s="315">
        <f t="shared" si="9"/>
        <v>143.09</v>
      </c>
      <c r="S36" s="374"/>
      <c r="T36" s="374"/>
      <c r="U36" s="374"/>
      <c r="V36" s="374"/>
    </row>
    <row r="37" spans="1:22" ht="12.75">
      <c r="A37" s="581">
        <v>25</v>
      </c>
      <c r="B37" s="586" t="s">
        <v>736</v>
      </c>
      <c r="C37" s="315">
        <f>ROUND(('AT5A_PLAN_vs_PRFM '!F36+'AT5D_Drought_PLAN_vs_PRFM  '!F36)*3.91/100000,2)</f>
        <v>110.75</v>
      </c>
      <c r="D37" s="315">
        <f>ROUND(('AT5A_PLAN_vs_PRFM '!F36+'AT5D_Drought_PLAN_vs_PRFM  '!F36)*2.6/100000,2)</f>
        <v>73.65</v>
      </c>
      <c r="E37" s="315">
        <f t="shared" si="0"/>
        <v>184.4</v>
      </c>
      <c r="F37" s="271">
        <v>12.44</v>
      </c>
      <c r="G37" s="272">
        <v>4.54</v>
      </c>
      <c r="H37" s="315">
        <f t="shared" si="1"/>
        <v>16.98</v>
      </c>
      <c r="I37" s="323">
        <f t="shared" si="2"/>
        <v>98.31</v>
      </c>
      <c r="J37" s="323">
        <f t="shared" si="3"/>
        <v>69.11</v>
      </c>
      <c r="K37" s="324">
        <f t="shared" si="4"/>
        <v>167.42000000000002</v>
      </c>
      <c r="L37" s="315">
        <f>ROUND(('AT5A_PLAN_vs_PRFM '!H36+'AT5D_Drought_PLAN_vs_PRFM  '!H36)*3.91/100000,2)</f>
        <v>101.62</v>
      </c>
      <c r="M37" s="315">
        <f t="shared" si="5"/>
        <v>67.57</v>
      </c>
      <c r="N37" s="315">
        <f t="shared" si="6"/>
        <v>169.19</v>
      </c>
      <c r="O37" s="315">
        <f t="shared" si="7"/>
        <v>9.129999999999995</v>
      </c>
      <c r="P37" s="315">
        <f t="shared" si="8"/>
        <v>6.0800000000000125</v>
      </c>
      <c r="Q37" s="315">
        <f t="shared" si="9"/>
        <v>15.210000000000008</v>
      </c>
      <c r="S37" s="374"/>
      <c r="T37" s="374"/>
      <c r="U37" s="374"/>
      <c r="V37" s="374"/>
    </row>
    <row r="38" spans="1:22" ht="12.75">
      <c r="A38" s="581">
        <v>26</v>
      </c>
      <c r="B38" s="586" t="s">
        <v>744</v>
      </c>
      <c r="C38" s="315">
        <f>ROUND(('AT5A_PLAN_vs_PRFM '!F37+'AT5D_Drought_PLAN_vs_PRFM  '!F37)*3.91/100000,2)</f>
        <v>126.48</v>
      </c>
      <c r="D38" s="315">
        <f>ROUND(('AT5A_PLAN_vs_PRFM '!F37+'AT5D_Drought_PLAN_vs_PRFM  '!F37)*2.6/100000,2)</f>
        <v>84.1</v>
      </c>
      <c r="E38" s="315">
        <f t="shared" si="0"/>
        <v>210.57999999999998</v>
      </c>
      <c r="F38" s="271">
        <v>14.02</v>
      </c>
      <c r="G38" s="272">
        <v>5.12</v>
      </c>
      <c r="H38" s="315">
        <f t="shared" si="1"/>
        <v>19.14</v>
      </c>
      <c r="I38" s="323">
        <f t="shared" si="2"/>
        <v>112.46000000000001</v>
      </c>
      <c r="J38" s="323">
        <f t="shared" si="3"/>
        <v>78.97999999999999</v>
      </c>
      <c r="K38" s="324">
        <f t="shared" si="4"/>
        <v>191.44</v>
      </c>
      <c r="L38" s="315">
        <f>ROUND(('AT5A_PLAN_vs_PRFM '!H37+'AT5D_Drought_PLAN_vs_PRFM  '!H37)*3.91/100000,2)</f>
        <v>95.48</v>
      </c>
      <c r="M38" s="315">
        <f t="shared" si="5"/>
        <v>63.49</v>
      </c>
      <c r="N38" s="315">
        <f t="shared" si="6"/>
        <v>158.97</v>
      </c>
      <c r="O38" s="315">
        <f t="shared" si="7"/>
        <v>31</v>
      </c>
      <c r="P38" s="315">
        <f t="shared" si="8"/>
        <v>20.609999999999992</v>
      </c>
      <c r="Q38" s="315">
        <f t="shared" si="9"/>
        <v>51.60999999999999</v>
      </c>
      <c r="S38" s="374"/>
      <c r="T38" s="374"/>
      <c r="U38" s="374"/>
      <c r="V38" s="374"/>
    </row>
    <row r="39" spans="1:22" ht="12.75">
      <c r="A39" s="581">
        <v>27</v>
      </c>
      <c r="B39" s="586" t="s">
        <v>745</v>
      </c>
      <c r="C39" s="315">
        <f>ROUND(('AT5A_PLAN_vs_PRFM '!F38+'AT5D_Drought_PLAN_vs_PRFM  '!F38)*3.91/100000,2)</f>
        <v>386.98</v>
      </c>
      <c r="D39" s="315">
        <f>ROUND(('AT5A_PLAN_vs_PRFM '!F38+'AT5D_Drought_PLAN_vs_PRFM  '!F38)*2.6/100000,2)</f>
        <v>257.33</v>
      </c>
      <c r="E39" s="315">
        <f t="shared" si="0"/>
        <v>644.31</v>
      </c>
      <c r="F39" s="271">
        <v>43.49</v>
      </c>
      <c r="G39" s="272">
        <v>15.86</v>
      </c>
      <c r="H39" s="315">
        <f t="shared" si="1"/>
        <v>59.35</v>
      </c>
      <c r="I39" s="323">
        <f t="shared" si="2"/>
        <v>343.49</v>
      </c>
      <c r="J39" s="323">
        <f t="shared" si="3"/>
        <v>241.46999999999997</v>
      </c>
      <c r="K39" s="324">
        <f t="shared" si="4"/>
        <v>584.96</v>
      </c>
      <c r="L39" s="315">
        <f>ROUND(('AT5A_PLAN_vs_PRFM '!H38+'AT5D_Drought_PLAN_vs_PRFM  '!H38)*3.91/100000,2)</f>
        <v>289.31</v>
      </c>
      <c r="M39" s="315">
        <f t="shared" si="5"/>
        <v>192.38</v>
      </c>
      <c r="N39" s="315">
        <f t="shared" si="6"/>
        <v>481.69</v>
      </c>
      <c r="O39" s="315">
        <f t="shared" si="7"/>
        <v>97.67000000000002</v>
      </c>
      <c r="P39" s="315">
        <f t="shared" si="8"/>
        <v>64.94999999999999</v>
      </c>
      <c r="Q39" s="315">
        <f t="shared" si="9"/>
        <v>162.62</v>
      </c>
      <c r="S39" s="374"/>
      <c r="T39" s="374"/>
      <c r="U39" s="374"/>
      <c r="V39" s="374"/>
    </row>
    <row r="40" spans="1:22" ht="12.75">
      <c r="A40" s="3"/>
      <c r="B40" s="3" t="s">
        <v>19</v>
      </c>
      <c r="C40" s="325">
        <f>SUM(C13:C39)</f>
        <v>11746.969999999998</v>
      </c>
      <c r="D40" s="325">
        <f aca="true" t="shared" si="10" ref="D40:Q40">SUM(D13:D39)</f>
        <v>7811.290000000001</v>
      </c>
      <c r="E40" s="325">
        <f t="shared" si="10"/>
        <v>19558.260000000002</v>
      </c>
      <c r="F40" s="325">
        <f t="shared" si="10"/>
        <v>1319.9400000000003</v>
      </c>
      <c r="G40" s="325">
        <f t="shared" si="10"/>
        <v>481.60999999999996</v>
      </c>
      <c r="H40" s="325">
        <f t="shared" si="10"/>
        <v>1801.5500000000002</v>
      </c>
      <c r="I40" s="325">
        <f t="shared" si="10"/>
        <v>10427.029999999997</v>
      </c>
      <c r="J40" s="325">
        <f t="shared" si="10"/>
        <v>7329.6799999999985</v>
      </c>
      <c r="K40" s="325">
        <f t="shared" si="10"/>
        <v>17756.709999999995</v>
      </c>
      <c r="L40" s="325">
        <f t="shared" si="10"/>
        <v>8884.94</v>
      </c>
      <c r="M40" s="325">
        <f t="shared" si="10"/>
        <v>5908.15</v>
      </c>
      <c r="N40" s="325">
        <f t="shared" si="10"/>
        <v>14793.09</v>
      </c>
      <c r="O40" s="325">
        <f t="shared" si="10"/>
        <v>2862.0299999999993</v>
      </c>
      <c r="P40" s="325">
        <f t="shared" si="10"/>
        <v>1903.1400000000003</v>
      </c>
      <c r="Q40" s="325">
        <f t="shared" si="10"/>
        <v>4765.17</v>
      </c>
      <c r="S40" s="325"/>
      <c r="T40" s="325"/>
      <c r="U40" s="325"/>
      <c r="V40" s="325"/>
    </row>
    <row r="41" spans="1:17" ht="12.75">
      <c r="A41" s="11"/>
      <c r="B41" s="30"/>
      <c r="C41" s="30"/>
      <c r="D41" s="3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5" ht="11.25" customHeight="1">
      <c r="A42" s="21" t="s">
        <v>790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7" ht="14.25" customHeight="1">
      <c r="A43" s="999" t="s">
        <v>367</v>
      </c>
      <c r="B43" s="999"/>
      <c r="C43" s="999"/>
      <c r="D43" s="999"/>
      <c r="E43" s="999"/>
      <c r="F43" s="999"/>
      <c r="G43" s="999"/>
      <c r="H43" s="999"/>
      <c r="I43" s="999"/>
      <c r="J43" s="999"/>
      <c r="K43" s="999"/>
      <c r="L43" s="999"/>
      <c r="M43" s="999"/>
      <c r="N43" s="999"/>
      <c r="O43" s="999"/>
      <c r="P43" s="999"/>
      <c r="Q43" s="999"/>
    </row>
    <row r="44" spans="1:17" ht="15.75" customHeight="1">
      <c r="A44" s="34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 ht="15.75" customHeight="1">
      <c r="A45" s="14" t="s">
        <v>12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881" t="s">
        <v>13</v>
      </c>
      <c r="O45" s="881"/>
      <c r="P45" s="83"/>
      <c r="Q45" s="14"/>
    </row>
    <row r="46" spans="1:17" ht="12.7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81" t="s">
        <v>14</v>
      </c>
      <c r="N46" s="881"/>
      <c r="O46" s="881"/>
      <c r="P46" s="881"/>
      <c r="Q46" s="83"/>
    </row>
    <row r="47" spans="1:17" ht="12.75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81" t="s">
        <v>637</v>
      </c>
      <c r="M47" s="881"/>
      <c r="N47" s="881"/>
      <c r="O47" s="881"/>
      <c r="P47" s="881"/>
      <c r="Q47" s="881"/>
    </row>
    <row r="48" spans="1:17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" t="s">
        <v>84</v>
      </c>
      <c r="O48" s="1"/>
      <c r="P48" s="1"/>
      <c r="Q48" s="1"/>
    </row>
  </sheetData>
  <sheetProtection/>
  <mergeCells count="16">
    <mergeCell ref="A43:Q43"/>
    <mergeCell ref="A10:A11"/>
    <mergeCell ref="B10:B11"/>
    <mergeCell ref="C10:E10"/>
    <mergeCell ref="F10:H10"/>
    <mergeCell ref="I10:K10"/>
    <mergeCell ref="N45:O45"/>
    <mergeCell ref="M46:P46"/>
    <mergeCell ref="L47:Q47"/>
    <mergeCell ref="P1:Q1"/>
    <mergeCell ref="A2:Q2"/>
    <mergeCell ref="A3:Q3"/>
    <mergeCell ref="N9:Q9"/>
    <mergeCell ref="D6:O6"/>
    <mergeCell ref="L10:N10"/>
    <mergeCell ref="O10:Q10"/>
  </mergeCells>
  <printOptions horizontalCentered="1"/>
  <pageMargins left="0.7086614173228347" right="0.7086614173228347" top="0.49" bottom="0" header="0.7" footer="0.31496062992125984"/>
  <pageSetup fitToHeight="1" fitToWidth="1" horizontalDpi="600" verticalDpi="600" orientation="landscape" paperSize="9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Z50"/>
  <sheetViews>
    <sheetView view="pageBreakPreview" zoomScale="90" zoomScaleSheetLayoutView="90" zoomScalePageLayoutView="0" workbookViewId="0" topLeftCell="O25">
      <selection activeCell="W25" sqref="W1:AB16384"/>
    </sheetView>
  </sheetViews>
  <sheetFormatPr defaultColWidth="9.140625" defaultRowHeight="12.75"/>
  <cols>
    <col min="1" max="1" width="6.28125" style="0" customWidth="1"/>
    <col min="2" max="2" width="15.7109375" style="0" customWidth="1"/>
    <col min="3" max="3" width="14.00390625" style="0" customWidth="1"/>
    <col min="4" max="4" width="11.28125" style="0" customWidth="1"/>
    <col min="5" max="5" width="10.421875" style="0" customWidth="1"/>
    <col min="6" max="6" width="9.421875" style="0" customWidth="1"/>
    <col min="7" max="7" width="10.57421875" style="0" customWidth="1"/>
    <col min="11" max="12" width="9.28125" style="0" bestFit="1" customWidth="1"/>
    <col min="14" max="19" width="9.28125" style="0" bestFit="1" customWidth="1"/>
    <col min="20" max="20" width="12.421875" style="0" customWidth="1"/>
    <col min="21" max="21" width="11.140625" style="0" customWidth="1"/>
    <col min="22" max="22" width="11.8515625" style="0" customWidth="1"/>
  </cols>
  <sheetData>
    <row r="1" spans="17:19" ht="15">
      <c r="Q1" s="1000" t="s">
        <v>65</v>
      </c>
      <c r="R1" s="1000"/>
      <c r="S1" s="1000"/>
    </row>
    <row r="3" spans="1:17" ht="15">
      <c r="A3" s="969" t="s">
        <v>0</v>
      </c>
      <c r="B3" s="969"/>
      <c r="C3" s="969"/>
      <c r="D3" s="969"/>
      <c r="E3" s="969"/>
      <c r="F3" s="969"/>
      <c r="G3" s="969"/>
      <c r="H3" s="969"/>
      <c r="I3" s="969"/>
      <c r="J3" s="969"/>
      <c r="K3" s="969"/>
      <c r="L3" s="969"/>
      <c r="M3" s="969"/>
      <c r="N3" s="969"/>
      <c r="O3" s="969"/>
      <c r="P3" s="969"/>
      <c r="Q3" s="969"/>
    </row>
    <row r="4" spans="1:17" ht="20.25">
      <c r="A4" s="952" t="s">
        <v>859</v>
      </c>
      <c r="B4" s="952"/>
      <c r="C4" s="952"/>
      <c r="D4" s="952"/>
      <c r="E4" s="952"/>
      <c r="F4" s="952"/>
      <c r="G4" s="952"/>
      <c r="H4" s="952"/>
      <c r="I4" s="952"/>
      <c r="J4" s="952"/>
      <c r="K4" s="952"/>
      <c r="L4" s="952"/>
      <c r="M4" s="952"/>
      <c r="N4" s="952"/>
      <c r="O4" s="952"/>
      <c r="P4" s="952"/>
      <c r="Q4" s="43"/>
    </row>
    <row r="5" spans="1:17" ht="15.75">
      <c r="A5" s="35" t="s">
        <v>634</v>
      </c>
      <c r="B5" s="3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</row>
    <row r="6" spans="1:21" ht="12.75">
      <c r="A6" s="35"/>
      <c r="B6" s="35"/>
      <c r="C6" s="151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U6" s="35"/>
    </row>
    <row r="8" spans="1:19" ht="15.75">
      <c r="A8" s="903" t="s">
        <v>251</v>
      </c>
      <c r="B8" s="903"/>
      <c r="C8" s="903"/>
      <c r="D8" s="903"/>
      <c r="E8" s="903"/>
      <c r="F8" s="903"/>
      <c r="G8" s="903"/>
      <c r="H8" s="903"/>
      <c r="I8" s="903"/>
      <c r="J8" s="903"/>
      <c r="K8" s="903"/>
      <c r="L8" s="903"/>
      <c r="M8" s="903"/>
      <c r="N8" s="903"/>
      <c r="O8" s="903"/>
      <c r="P8" s="903"/>
      <c r="Q8" s="903"/>
      <c r="R8" s="903"/>
      <c r="S8" s="903"/>
    </row>
    <row r="9" spans="1:21" ht="15.75">
      <c r="A9" s="46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1001" t="s">
        <v>241</v>
      </c>
      <c r="Q9" s="1001"/>
      <c r="R9" s="1001"/>
      <c r="S9" s="1001"/>
      <c r="U9" s="39"/>
    </row>
    <row r="10" spans="16:19" ht="12.75">
      <c r="P10" s="980" t="s">
        <v>936</v>
      </c>
      <c r="Q10" s="980"/>
      <c r="R10" s="980"/>
      <c r="S10" s="980"/>
    </row>
    <row r="11" spans="1:22" ht="28.5" customHeight="1">
      <c r="A11" s="1004" t="s">
        <v>24</v>
      </c>
      <c r="B11" s="963" t="s">
        <v>220</v>
      </c>
      <c r="C11" s="963" t="s">
        <v>371</v>
      </c>
      <c r="D11" s="963" t="s">
        <v>477</v>
      </c>
      <c r="E11" s="904" t="s">
        <v>952</v>
      </c>
      <c r="F11" s="904"/>
      <c r="G11" s="904"/>
      <c r="H11" s="894" t="s">
        <v>953</v>
      </c>
      <c r="I11" s="895"/>
      <c r="J11" s="896"/>
      <c r="K11" s="921" t="s">
        <v>373</v>
      </c>
      <c r="L11" s="870"/>
      <c r="M11" s="995"/>
      <c r="N11" s="974" t="s">
        <v>169</v>
      </c>
      <c r="O11" s="1002"/>
      <c r="P11" s="1003"/>
      <c r="Q11" s="871" t="s">
        <v>828</v>
      </c>
      <c r="R11" s="871"/>
      <c r="S11" s="871"/>
      <c r="T11" s="963" t="s">
        <v>268</v>
      </c>
      <c r="U11" s="963" t="s">
        <v>425</v>
      </c>
      <c r="V11" s="963" t="s">
        <v>374</v>
      </c>
    </row>
    <row r="12" spans="1:22" ht="56.25" customHeight="1">
      <c r="A12" s="1005"/>
      <c r="B12" s="964"/>
      <c r="C12" s="964"/>
      <c r="D12" s="964"/>
      <c r="E12" s="5" t="s">
        <v>191</v>
      </c>
      <c r="F12" s="5" t="s">
        <v>221</v>
      </c>
      <c r="G12" s="5" t="s">
        <v>19</v>
      </c>
      <c r="H12" s="5" t="s">
        <v>191</v>
      </c>
      <c r="I12" s="5" t="s">
        <v>221</v>
      </c>
      <c r="J12" s="5" t="s">
        <v>19</v>
      </c>
      <c r="K12" s="5" t="s">
        <v>191</v>
      </c>
      <c r="L12" s="5" t="s">
        <v>221</v>
      </c>
      <c r="M12" s="5" t="s">
        <v>19</v>
      </c>
      <c r="N12" s="5" t="s">
        <v>191</v>
      </c>
      <c r="O12" s="5" t="s">
        <v>221</v>
      </c>
      <c r="P12" s="5" t="s">
        <v>19</v>
      </c>
      <c r="Q12" s="5" t="s">
        <v>255</v>
      </c>
      <c r="R12" s="5" t="s">
        <v>233</v>
      </c>
      <c r="S12" s="5" t="s">
        <v>234</v>
      </c>
      <c r="T12" s="964"/>
      <c r="U12" s="964"/>
      <c r="V12" s="964"/>
    </row>
    <row r="13" spans="1:22" ht="12.75">
      <c r="A13" s="150">
        <v>1</v>
      </c>
      <c r="B13" s="105">
        <v>2</v>
      </c>
      <c r="C13" s="8">
        <v>3</v>
      </c>
      <c r="D13" s="150">
        <v>4</v>
      </c>
      <c r="E13" s="105">
        <v>5</v>
      </c>
      <c r="F13" s="8">
        <v>6</v>
      </c>
      <c r="G13" s="150">
        <v>7</v>
      </c>
      <c r="H13" s="105">
        <v>8</v>
      </c>
      <c r="I13" s="8">
        <v>9</v>
      </c>
      <c r="J13" s="150">
        <v>10</v>
      </c>
      <c r="K13" s="105">
        <v>11</v>
      </c>
      <c r="L13" s="8">
        <v>12</v>
      </c>
      <c r="M13" s="150">
        <v>13</v>
      </c>
      <c r="N13" s="105">
        <v>14</v>
      </c>
      <c r="O13" s="8">
        <v>15</v>
      </c>
      <c r="P13" s="150">
        <v>16</v>
      </c>
      <c r="Q13" s="105">
        <v>17</v>
      </c>
      <c r="R13" s="8">
        <v>18</v>
      </c>
      <c r="S13" s="150">
        <v>19</v>
      </c>
      <c r="T13" s="105">
        <v>20</v>
      </c>
      <c r="U13" s="8">
        <v>21</v>
      </c>
      <c r="V13" s="150">
        <v>22</v>
      </c>
    </row>
    <row r="14" spans="1:26" ht="17.25" customHeight="1">
      <c r="A14" s="262">
        <v>1</v>
      </c>
      <c r="B14" s="586" t="s">
        <v>898</v>
      </c>
      <c r="C14" s="281">
        <v>2445</v>
      </c>
      <c r="D14" s="281">
        <v>2483</v>
      </c>
      <c r="E14" s="480">
        <v>147.9</v>
      </c>
      <c r="F14" s="489">
        <f>E14</f>
        <v>147.9</v>
      </c>
      <c r="G14" s="483">
        <f aca="true" t="shared" si="0" ref="G14:G40">SUM(E14:F14)</f>
        <v>295.8</v>
      </c>
      <c r="H14" s="480">
        <v>7.57</v>
      </c>
      <c r="I14" s="483">
        <f aca="true" t="shared" si="1" ref="I14:I40">H14</f>
        <v>7.57</v>
      </c>
      <c r="J14" s="483">
        <f aca="true" t="shared" si="2" ref="J14:J40">H14+I14</f>
        <v>15.14</v>
      </c>
      <c r="K14" s="482">
        <f>E14-H14</f>
        <v>140.33</v>
      </c>
      <c r="L14" s="483">
        <f aca="true" t="shared" si="3" ref="L14:L40">K14</f>
        <v>140.33</v>
      </c>
      <c r="M14" s="485">
        <f aca="true" t="shared" si="4" ref="M14:M40">SUM(K14:L14)</f>
        <v>280.66</v>
      </c>
      <c r="N14" s="483">
        <v>147.72</v>
      </c>
      <c r="O14" s="483">
        <f aca="true" t="shared" si="5" ref="O14:O40">N14</f>
        <v>147.72</v>
      </c>
      <c r="P14" s="482">
        <f aca="true" t="shared" si="6" ref="P14:P40">SUM(N14:O14)</f>
        <v>295.44</v>
      </c>
      <c r="Q14" s="483">
        <f aca="true" t="shared" si="7" ref="Q14:R40">H14+K14-N14</f>
        <v>0.18000000000000682</v>
      </c>
      <c r="R14" s="485">
        <f t="shared" si="7"/>
        <v>0.18000000000000682</v>
      </c>
      <c r="S14" s="483">
        <f aca="true" t="shared" si="8" ref="S14:S40">SUM(Q14:R14)</f>
        <v>0.36000000000001364</v>
      </c>
      <c r="T14" s="490" t="s">
        <v>611</v>
      </c>
      <c r="U14" s="420">
        <f aca="true" t="shared" si="9" ref="U14:U40">D14</f>
        <v>2483</v>
      </c>
      <c r="V14" s="488">
        <f aca="true" t="shared" si="10" ref="V14:V40">U14</f>
        <v>2483</v>
      </c>
      <c r="Y14" s="278"/>
      <c r="Z14" s="278"/>
    </row>
    <row r="15" spans="1:26" ht="17.25" customHeight="1">
      <c r="A15" s="260">
        <v>2</v>
      </c>
      <c r="B15" s="586" t="s">
        <v>899</v>
      </c>
      <c r="C15" s="488">
        <v>2678</v>
      </c>
      <c r="D15" s="488">
        <v>2482</v>
      </c>
      <c r="E15" s="480">
        <v>160.68</v>
      </c>
      <c r="F15" s="489">
        <f aca="true" t="shared" si="11" ref="F15:F40">E15</f>
        <v>160.68</v>
      </c>
      <c r="G15" s="483">
        <f t="shared" si="0"/>
        <v>321.36</v>
      </c>
      <c r="H15" s="480">
        <v>8.23</v>
      </c>
      <c r="I15" s="483">
        <f t="shared" si="1"/>
        <v>8.23</v>
      </c>
      <c r="J15" s="483">
        <f t="shared" si="2"/>
        <v>16.46</v>
      </c>
      <c r="K15" s="482">
        <f aca="true" t="shared" si="12" ref="K15:K40">E15-H15</f>
        <v>152.45000000000002</v>
      </c>
      <c r="L15" s="483">
        <f t="shared" si="3"/>
        <v>152.45000000000002</v>
      </c>
      <c r="M15" s="485">
        <f t="shared" si="4"/>
        <v>304.90000000000003</v>
      </c>
      <c r="N15" s="483">
        <v>147.66</v>
      </c>
      <c r="O15" s="483">
        <f t="shared" si="5"/>
        <v>147.66</v>
      </c>
      <c r="P15" s="482">
        <f t="shared" si="6"/>
        <v>295.32</v>
      </c>
      <c r="Q15" s="483">
        <f t="shared" si="7"/>
        <v>13.02000000000001</v>
      </c>
      <c r="R15" s="485">
        <f t="shared" si="7"/>
        <v>13.02000000000001</v>
      </c>
      <c r="S15" s="483">
        <f t="shared" si="8"/>
        <v>26.04000000000002</v>
      </c>
      <c r="T15" s="490" t="s">
        <v>611</v>
      </c>
      <c r="U15" s="420">
        <f t="shared" si="9"/>
        <v>2482</v>
      </c>
      <c r="V15" s="488">
        <f t="shared" si="10"/>
        <v>2482</v>
      </c>
      <c r="Y15" s="278"/>
      <c r="Z15" s="278"/>
    </row>
    <row r="16" spans="1:26" ht="17.25" customHeight="1">
      <c r="A16" s="260">
        <v>3</v>
      </c>
      <c r="B16" s="586" t="s">
        <v>839</v>
      </c>
      <c r="C16" s="281">
        <v>2288</v>
      </c>
      <c r="D16" s="281">
        <v>2226</v>
      </c>
      <c r="E16" s="480">
        <v>137.28</v>
      </c>
      <c r="F16" s="489">
        <f t="shared" si="11"/>
        <v>137.28</v>
      </c>
      <c r="G16" s="483">
        <f t="shared" si="0"/>
        <v>274.56</v>
      </c>
      <c r="H16" s="282">
        <v>7.03</v>
      </c>
      <c r="I16" s="483">
        <f t="shared" si="1"/>
        <v>7.03</v>
      </c>
      <c r="J16" s="483">
        <f t="shared" si="2"/>
        <v>14.06</v>
      </c>
      <c r="K16" s="482">
        <f t="shared" si="12"/>
        <v>130.25</v>
      </c>
      <c r="L16" s="483">
        <f t="shared" si="3"/>
        <v>130.25</v>
      </c>
      <c r="M16" s="485">
        <f t="shared" si="4"/>
        <v>260.5</v>
      </c>
      <c r="N16" s="483">
        <v>132.42</v>
      </c>
      <c r="O16" s="483">
        <f t="shared" si="5"/>
        <v>132.42</v>
      </c>
      <c r="P16" s="482">
        <f t="shared" si="6"/>
        <v>264.84</v>
      </c>
      <c r="Q16" s="483">
        <f t="shared" si="7"/>
        <v>4.860000000000014</v>
      </c>
      <c r="R16" s="485">
        <f t="shared" si="7"/>
        <v>4.860000000000014</v>
      </c>
      <c r="S16" s="483">
        <f t="shared" si="8"/>
        <v>9.720000000000027</v>
      </c>
      <c r="T16" s="490" t="s">
        <v>611</v>
      </c>
      <c r="U16" s="420">
        <f t="shared" si="9"/>
        <v>2226</v>
      </c>
      <c r="V16" s="488">
        <f t="shared" si="10"/>
        <v>2226</v>
      </c>
      <c r="Y16" s="278"/>
      <c r="Z16" s="278"/>
    </row>
    <row r="17" spans="1:26" ht="17.25" customHeight="1">
      <c r="A17" s="260">
        <v>4</v>
      </c>
      <c r="B17" s="586" t="s">
        <v>743</v>
      </c>
      <c r="C17" s="488">
        <v>4367</v>
      </c>
      <c r="D17" s="488">
        <v>4005</v>
      </c>
      <c r="E17" s="480">
        <v>307.92</v>
      </c>
      <c r="F17" s="489">
        <f t="shared" si="11"/>
        <v>307.92</v>
      </c>
      <c r="G17" s="483">
        <f t="shared" si="0"/>
        <v>615.84</v>
      </c>
      <c r="H17" s="480">
        <v>15.77</v>
      </c>
      <c r="I17" s="483">
        <f t="shared" si="1"/>
        <v>15.77</v>
      </c>
      <c r="J17" s="483">
        <f t="shared" si="2"/>
        <v>31.54</v>
      </c>
      <c r="K17" s="482">
        <f t="shared" si="12"/>
        <v>292.15000000000003</v>
      </c>
      <c r="L17" s="483">
        <f t="shared" si="3"/>
        <v>292.15000000000003</v>
      </c>
      <c r="M17" s="485">
        <f t="shared" si="4"/>
        <v>584.3000000000001</v>
      </c>
      <c r="N17" s="483">
        <v>275.18</v>
      </c>
      <c r="O17" s="483">
        <f t="shared" si="5"/>
        <v>275.18</v>
      </c>
      <c r="P17" s="482">
        <f t="shared" si="6"/>
        <v>550.36</v>
      </c>
      <c r="Q17" s="483">
        <f t="shared" si="7"/>
        <v>32.74000000000001</v>
      </c>
      <c r="R17" s="485">
        <f t="shared" si="7"/>
        <v>32.74000000000001</v>
      </c>
      <c r="S17" s="483">
        <f t="shared" si="8"/>
        <v>65.48000000000002</v>
      </c>
      <c r="T17" s="490" t="s">
        <v>611</v>
      </c>
      <c r="U17" s="420">
        <f t="shared" si="9"/>
        <v>4005</v>
      </c>
      <c r="V17" s="488">
        <f t="shared" si="10"/>
        <v>4005</v>
      </c>
      <c r="Y17" s="278"/>
      <c r="Z17" s="278"/>
    </row>
    <row r="18" spans="1:26" ht="17.25" customHeight="1">
      <c r="A18" s="260">
        <v>5</v>
      </c>
      <c r="B18" s="586" t="s">
        <v>748</v>
      </c>
      <c r="C18" s="281">
        <v>3801</v>
      </c>
      <c r="D18" s="281">
        <v>3759</v>
      </c>
      <c r="E18" s="480">
        <v>272.76</v>
      </c>
      <c r="F18" s="489">
        <f t="shared" si="11"/>
        <v>272.76</v>
      </c>
      <c r="G18" s="483">
        <f t="shared" si="0"/>
        <v>545.52</v>
      </c>
      <c r="H18" s="282">
        <v>13.97</v>
      </c>
      <c r="I18" s="483">
        <f t="shared" si="1"/>
        <v>13.97</v>
      </c>
      <c r="J18" s="483">
        <f t="shared" si="2"/>
        <v>27.94</v>
      </c>
      <c r="K18" s="482">
        <f t="shared" si="12"/>
        <v>258.78999999999996</v>
      </c>
      <c r="L18" s="483">
        <f t="shared" si="3"/>
        <v>258.78999999999996</v>
      </c>
      <c r="M18" s="485">
        <f t="shared" si="4"/>
        <v>517.5799999999999</v>
      </c>
      <c r="N18" s="483">
        <v>264.48</v>
      </c>
      <c r="O18" s="483">
        <f t="shared" si="5"/>
        <v>264.48</v>
      </c>
      <c r="P18" s="482">
        <f t="shared" si="6"/>
        <v>528.96</v>
      </c>
      <c r="Q18" s="483">
        <f t="shared" si="7"/>
        <v>8.279999999999973</v>
      </c>
      <c r="R18" s="485">
        <f t="shared" si="7"/>
        <v>8.279999999999973</v>
      </c>
      <c r="S18" s="483">
        <f t="shared" si="8"/>
        <v>16.559999999999945</v>
      </c>
      <c r="T18" s="490" t="s">
        <v>611</v>
      </c>
      <c r="U18" s="420">
        <f t="shared" si="9"/>
        <v>3759</v>
      </c>
      <c r="V18" s="488">
        <f t="shared" si="10"/>
        <v>3759</v>
      </c>
      <c r="Y18" s="278"/>
      <c r="Z18" s="278"/>
    </row>
    <row r="19" spans="1:26" ht="17.25" customHeight="1">
      <c r="A19" s="260">
        <v>6</v>
      </c>
      <c r="B19" s="586" t="s">
        <v>747</v>
      </c>
      <c r="C19" s="281">
        <v>3433</v>
      </c>
      <c r="D19" s="281">
        <v>3529</v>
      </c>
      <c r="E19" s="480">
        <v>252.36</v>
      </c>
      <c r="F19" s="489">
        <f t="shared" si="11"/>
        <v>252.36</v>
      </c>
      <c r="G19" s="483">
        <f t="shared" si="0"/>
        <v>504.72</v>
      </c>
      <c r="H19" s="282">
        <v>12.92</v>
      </c>
      <c r="I19" s="483">
        <f t="shared" si="1"/>
        <v>12.92</v>
      </c>
      <c r="J19" s="483">
        <f t="shared" si="2"/>
        <v>25.84</v>
      </c>
      <c r="K19" s="482">
        <f t="shared" si="12"/>
        <v>239.44000000000003</v>
      </c>
      <c r="L19" s="483">
        <f t="shared" si="3"/>
        <v>239.44000000000003</v>
      </c>
      <c r="M19" s="485">
        <f t="shared" si="4"/>
        <v>478.88000000000005</v>
      </c>
      <c r="N19" s="483">
        <v>252</v>
      </c>
      <c r="O19" s="483">
        <f t="shared" si="5"/>
        <v>252</v>
      </c>
      <c r="P19" s="482">
        <f t="shared" si="6"/>
        <v>504</v>
      </c>
      <c r="Q19" s="483">
        <f t="shared" si="7"/>
        <v>0.36000000000001364</v>
      </c>
      <c r="R19" s="485">
        <f t="shared" si="7"/>
        <v>0.36000000000001364</v>
      </c>
      <c r="S19" s="483">
        <f t="shared" si="8"/>
        <v>0.7200000000000273</v>
      </c>
      <c r="T19" s="490" t="s">
        <v>611</v>
      </c>
      <c r="U19" s="420">
        <f t="shared" si="9"/>
        <v>3529</v>
      </c>
      <c r="V19" s="488">
        <f t="shared" si="10"/>
        <v>3529</v>
      </c>
      <c r="Y19" s="278"/>
      <c r="Z19" s="278"/>
    </row>
    <row r="20" spans="1:26" ht="17.25" customHeight="1">
      <c r="A20" s="260">
        <v>7</v>
      </c>
      <c r="B20" s="586" t="s">
        <v>737</v>
      </c>
      <c r="C20" s="488">
        <v>1549</v>
      </c>
      <c r="D20" s="488">
        <v>1313</v>
      </c>
      <c r="E20" s="480">
        <v>111.53</v>
      </c>
      <c r="F20" s="489">
        <f t="shared" si="11"/>
        <v>111.53</v>
      </c>
      <c r="G20" s="483">
        <f t="shared" si="0"/>
        <v>223.06</v>
      </c>
      <c r="H20" s="480">
        <v>5.71</v>
      </c>
      <c r="I20" s="483">
        <f t="shared" si="1"/>
        <v>5.71</v>
      </c>
      <c r="J20" s="483">
        <f t="shared" si="2"/>
        <v>11.42</v>
      </c>
      <c r="K20" s="482">
        <f t="shared" si="12"/>
        <v>105.82000000000001</v>
      </c>
      <c r="L20" s="483">
        <f t="shared" si="3"/>
        <v>105.82000000000001</v>
      </c>
      <c r="M20" s="485">
        <f t="shared" si="4"/>
        <v>211.64000000000001</v>
      </c>
      <c r="N20" s="483">
        <v>93.74</v>
      </c>
      <c r="O20" s="483">
        <f t="shared" si="5"/>
        <v>93.74</v>
      </c>
      <c r="P20" s="482">
        <f t="shared" si="6"/>
        <v>187.48</v>
      </c>
      <c r="Q20" s="483">
        <f t="shared" si="7"/>
        <v>17.790000000000006</v>
      </c>
      <c r="R20" s="485">
        <f t="shared" si="7"/>
        <v>17.790000000000006</v>
      </c>
      <c r="S20" s="483">
        <f t="shared" si="8"/>
        <v>35.58000000000001</v>
      </c>
      <c r="T20" s="490" t="s">
        <v>611</v>
      </c>
      <c r="U20" s="420">
        <f t="shared" si="9"/>
        <v>1313</v>
      </c>
      <c r="V20" s="488">
        <f t="shared" si="10"/>
        <v>1313</v>
      </c>
      <c r="Y20" s="278"/>
      <c r="Z20" s="278"/>
    </row>
    <row r="21" spans="1:26" ht="17.25" customHeight="1">
      <c r="A21" s="260">
        <v>8</v>
      </c>
      <c r="B21" s="586" t="s">
        <v>749</v>
      </c>
      <c r="C21" s="281">
        <v>2251</v>
      </c>
      <c r="D21" s="281">
        <v>1852</v>
      </c>
      <c r="E21" s="480">
        <v>149.47</v>
      </c>
      <c r="F21" s="489">
        <f t="shared" si="11"/>
        <v>149.47</v>
      </c>
      <c r="G21" s="483">
        <f t="shared" si="0"/>
        <v>298.94</v>
      </c>
      <c r="H21" s="282">
        <v>7.65</v>
      </c>
      <c r="I21" s="483">
        <f t="shared" si="1"/>
        <v>7.65</v>
      </c>
      <c r="J21" s="483">
        <f t="shared" si="2"/>
        <v>15.3</v>
      </c>
      <c r="K21" s="482">
        <f t="shared" si="12"/>
        <v>141.82</v>
      </c>
      <c r="L21" s="483">
        <f t="shared" si="3"/>
        <v>141.82</v>
      </c>
      <c r="M21" s="485">
        <f t="shared" si="4"/>
        <v>283.64</v>
      </c>
      <c r="N21" s="483">
        <v>132.26</v>
      </c>
      <c r="O21" s="483">
        <f t="shared" si="5"/>
        <v>132.26</v>
      </c>
      <c r="P21" s="482">
        <f t="shared" si="6"/>
        <v>264.52</v>
      </c>
      <c r="Q21" s="483">
        <f t="shared" si="7"/>
        <v>17.210000000000008</v>
      </c>
      <c r="R21" s="485">
        <f t="shared" si="7"/>
        <v>17.210000000000008</v>
      </c>
      <c r="S21" s="483">
        <f t="shared" si="8"/>
        <v>34.420000000000016</v>
      </c>
      <c r="T21" s="490" t="s">
        <v>611</v>
      </c>
      <c r="U21" s="420">
        <f t="shared" si="9"/>
        <v>1852</v>
      </c>
      <c r="V21" s="488">
        <f t="shared" si="10"/>
        <v>1852</v>
      </c>
      <c r="Y21" s="278"/>
      <c r="Z21" s="278"/>
    </row>
    <row r="22" spans="1:26" ht="17.25" customHeight="1">
      <c r="A22" s="260">
        <v>9</v>
      </c>
      <c r="B22" s="586" t="s">
        <v>834</v>
      </c>
      <c r="C22" s="488">
        <v>3011</v>
      </c>
      <c r="D22" s="488">
        <v>2830</v>
      </c>
      <c r="E22" s="480">
        <v>180.66</v>
      </c>
      <c r="F22" s="489">
        <f t="shared" si="11"/>
        <v>180.66</v>
      </c>
      <c r="G22" s="483">
        <f t="shared" si="0"/>
        <v>361.32</v>
      </c>
      <c r="H22" s="480">
        <v>9.25</v>
      </c>
      <c r="I22" s="483">
        <f t="shared" si="1"/>
        <v>9.25</v>
      </c>
      <c r="J22" s="483">
        <f t="shared" si="2"/>
        <v>18.5</v>
      </c>
      <c r="K22" s="482">
        <f t="shared" si="12"/>
        <v>171.41</v>
      </c>
      <c r="L22" s="483">
        <f t="shared" si="3"/>
        <v>171.41</v>
      </c>
      <c r="M22" s="485">
        <f t="shared" si="4"/>
        <v>342.82</v>
      </c>
      <c r="N22" s="483">
        <v>168.36</v>
      </c>
      <c r="O22" s="483">
        <f t="shared" si="5"/>
        <v>168.36</v>
      </c>
      <c r="P22" s="482">
        <f t="shared" si="6"/>
        <v>336.72</v>
      </c>
      <c r="Q22" s="483">
        <f t="shared" si="7"/>
        <v>12.299999999999983</v>
      </c>
      <c r="R22" s="485">
        <f t="shared" si="7"/>
        <v>12.299999999999983</v>
      </c>
      <c r="S22" s="483">
        <f t="shared" si="8"/>
        <v>24.599999999999966</v>
      </c>
      <c r="T22" s="490" t="s">
        <v>611</v>
      </c>
      <c r="U22" s="420">
        <f t="shared" si="9"/>
        <v>2830</v>
      </c>
      <c r="V22" s="488">
        <f t="shared" si="10"/>
        <v>2830</v>
      </c>
      <c r="Y22" s="278"/>
      <c r="Z22" s="278"/>
    </row>
    <row r="23" spans="1:26" ht="17.25" customHeight="1">
      <c r="A23" s="260">
        <v>10</v>
      </c>
      <c r="B23" s="586" t="s">
        <v>739</v>
      </c>
      <c r="C23" s="281">
        <v>725</v>
      </c>
      <c r="D23" s="281">
        <v>718</v>
      </c>
      <c r="E23" s="480">
        <v>52.2</v>
      </c>
      <c r="F23" s="489">
        <f t="shared" si="11"/>
        <v>52.2</v>
      </c>
      <c r="G23" s="483">
        <f t="shared" si="0"/>
        <v>104.4</v>
      </c>
      <c r="H23" s="282">
        <v>2.67</v>
      </c>
      <c r="I23" s="483">
        <f t="shared" si="1"/>
        <v>2.67</v>
      </c>
      <c r="J23" s="483">
        <f t="shared" si="2"/>
        <v>5.34</v>
      </c>
      <c r="K23" s="482">
        <f t="shared" si="12"/>
        <v>49.53</v>
      </c>
      <c r="L23" s="483">
        <f t="shared" si="3"/>
        <v>49.53</v>
      </c>
      <c r="M23" s="485">
        <f t="shared" si="4"/>
        <v>99.06</v>
      </c>
      <c r="N23" s="483">
        <v>51.26</v>
      </c>
      <c r="O23" s="483">
        <f t="shared" si="5"/>
        <v>51.26</v>
      </c>
      <c r="P23" s="482">
        <f t="shared" si="6"/>
        <v>102.52</v>
      </c>
      <c r="Q23" s="483">
        <f t="shared" si="7"/>
        <v>0.9400000000000048</v>
      </c>
      <c r="R23" s="485">
        <f t="shared" si="7"/>
        <v>0.9400000000000048</v>
      </c>
      <c r="S23" s="483">
        <f t="shared" si="8"/>
        <v>1.8800000000000097</v>
      </c>
      <c r="T23" s="490" t="s">
        <v>611</v>
      </c>
      <c r="U23" s="420">
        <f t="shared" si="9"/>
        <v>718</v>
      </c>
      <c r="V23" s="488">
        <f t="shared" si="10"/>
        <v>718</v>
      </c>
      <c r="Y23" s="278"/>
      <c r="Z23" s="278"/>
    </row>
    <row r="24" spans="1:26" ht="17.25" customHeight="1">
      <c r="A24" s="260">
        <v>11</v>
      </c>
      <c r="B24" s="586" t="s">
        <v>900</v>
      </c>
      <c r="C24" s="281">
        <v>1003</v>
      </c>
      <c r="D24" s="281">
        <v>1026</v>
      </c>
      <c r="E24" s="480">
        <v>61.5</v>
      </c>
      <c r="F24" s="489">
        <f t="shared" si="11"/>
        <v>61.5</v>
      </c>
      <c r="G24" s="483">
        <f t="shared" si="0"/>
        <v>123</v>
      </c>
      <c r="H24" s="282">
        <v>3.15</v>
      </c>
      <c r="I24" s="483">
        <f t="shared" si="1"/>
        <v>3.15</v>
      </c>
      <c r="J24" s="483">
        <f t="shared" si="2"/>
        <v>6.3</v>
      </c>
      <c r="K24" s="482">
        <f t="shared" si="12"/>
        <v>58.35</v>
      </c>
      <c r="L24" s="483">
        <f t="shared" si="3"/>
        <v>58.35</v>
      </c>
      <c r="M24" s="485">
        <f t="shared" si="4"/>
        <v>116.7</v>
      </c>
      <c r="N24" s="483">
        <v>61.02</v>
      </c>
      <c r="O24" s="483">
        <f t="shared" si="5"/>
        <v>61.02</v>
      </c>
      <c r="P24" s="482">
        <f t="shared" si="6"/>
        <v>122.04</v>
      </c>
      <c r="Q24" s="483">
        <f t="shared" si="7"/>
        <v>0.4799999999999969</v>
      </c>
      <c r="R24" s="485">
        <f t="shared" si="7"/>
        <v>0.4799999999999969</v>
      </c>
      <c r="S24" s="483">
        <f t="shared" si="8"/>
        <v>0.9599999999999937</v>
      </c>
      <c r="T24" s="490" t="s">
        <v>611</v>
      </c>
      <c r="U24" s="420">
        <f t="shared" si="9"/>
        <v>1026</v>
      </c>
      <c r="V24" s="488">
        <f t="shared" si="10"/>
        <v>1026</v>
      </c>
      <c r="Y24" s="278"/>
      <c r="Z24" s="278"/>
    </row>
    <row r="25" spans="1:26" ht="17.25" customHeight="1">
      <c r="A25" s="260">
        <v>12</v>
      </c>
      <c r="B25" s="586" t="s">
        <v>731</v>
      </c>
      <c r="C25" s="281">
        <v>2109</v>
      </c>
      <c r="D25" s="281">
        <v>2142</v>
      </c>
      <c r="E25" s="480">
        <v>153.36</v>
      </c>
      <c r="F25" s="489">
        <f t="shared" si="11"/>
        <v>153.36</v>
      </c>
      <c r="G25" s="483">
        <f t="shared" si="0"/>
        <v>306.72</v>
      </c>
      <c r="H25" s="282">
        <v>7.85</v>
      </c>
      <c r="I25" s="483">
        <f t="shared" si="1"/>
        <v>7.85</v>
      </c>
      <c r="J25" s="483">
        <f t="shared" si="2"/>
        <v>15.7</v>
      </c>
      <c r="K25" s="482">
        <f t="shared" si="12"/>
        <v>145.51000000000002</v>
      </c>
      <c r="L25" s="483">
        <f t="shared" si="3"/>
        <v>145.51000000000002</v>
      </c>
      <c r="M25" s="485">
        <f t="shared" si="4"/>
        <v>291.02000000000004</v>
      </c>
      <c r="N25" s="483">
        <v>152.93</v>
      </c>
      <c r="O25" s="483">
        <f t="shared" si="5"/>
        <v>152.93</v>
      </c>
      <c r="P25" s="482">
        <f t="shared" si="6"/>
        <v>305.86</v>
      </c>
      <c r="Q25" s="483">
        <f t="shared" si="7"/>
        <v>0.4300000000000068</v>
      </c>
      <c r="R25" s="485">
        <f t="shared" si="7"/>
        <v>0.4300000000000068</v>
      </c>
      <c r="S25" s="483">
        <f t="shared" si="8"/>
        <v>0.8600000000000136</v>
      </c>
      <c r="T25" s="490" t="s">
        <v>611</v>
      </c>
      <c r="U25" s="420">
        <f t="shared" si="9"/>
        <v>2142</v>
      </c>
      <c r="V25" s="488">
        <f t="shared" si="10"/>
        <v>2142</v>
      </c>
      <c r="Y25" s="278"/>
      <c r="Z25" s="278"/>
    </row>
    <row r="26" spans="1:26" ht="17.25" customHeight="1">
      <c r="A26" s="260">
        <v>13</v>
      </c>
      <c r="B26" s="586" t="s">
        <v>742</v>
      </c>
      <c r="C26" s="488">
        <v>1754</v>
      </c>
      <c r="D26" s="488">
        <v>1665</v>
      </c>
      <c r="E26" s="480">
        <v>126.29</v>
      </c>
      <c r="F26" s="489">
        <f t="shared" si="11"/>
        <v>126.29</v>
      </c>
      <c r="G26" s="483">
        <f t="shared" si="0"/>
        <v>252.58</v>
      </c>
      <c r="H26" s="480">
        <v>6.47</v>
      </c>
      <c r="I26" s="483">
        <f t="shared" si="1"/>
        <v>6.47</v>
      </c>
      <c r="J26" s="483">
        <f t="shared" si="2"/>
        <v>12.94</v>
      </c>
      <c r="K26" s="482">
        <f t="shared" si="12"/>
        <v>119.82000000000001</v>
      </c>
      <c r="L26" s="483">
        <f t="shared" si="3"/>
        <v>119.82000000000001</v>
      </c>
      <c r="M26" s="485">
        <f t="shared" si="4"/>
        <v>239.64000000000001</v>
      </c>
      <c r="N26" s="483">
        <v>118.87</v>
      </c>
      <c r="O26" s="483">
        <f t="shared" si="5"/>
        <v>118.87</v>
      </c>
      <c r="P26" s="482">
        <f t="shared" si="6"/>
        <v>237.74</v>
      </c>
      <c r="Q26" s="483">
        <f t="shared" si="7"/>
        <v>7.420000000000002</v>
      </c>
      <c r="R26" s="485">
        <f t="shared" si="7"/>
        <v>7.420000000000002</v>
      </c>
      <c r="S26" s="483">
        <f t="shared" si="8"/>
        <v>14.840000000000003</v>
      </c>
      <c r="T26" s="490" t="s">
        <v>611</v>
      </c>
      <c r="U26" s="420">
        <f t="shared" si="9"/>
        <v>1665</v>
      </c>
      <c r="V26" s="488">
        <f t="shared" si="10"/>
        <v>1665</v>
      </c>
      <c r="Y26" s="278"/>
      <c r="Z26" s="278"/>
    </row>
    <row r="27" spans="1:26" ht="17.25" customHeight="1">
      <c r="A27" s="260">
        <v>14</v>
      </c>
      <c r="B27" s="586" t="s">
        <v>740</v>
      </c>
      <c r="C27" s="488">
        <v>1876</v>
      </c>
      <c r="D27" s="488">
        <v>1707</v>
      </c>
      <c r="E27" s="480">
        <v>135.07</v>
      </c>
      <c r="F27" s="489">
        <f t="shared" si="11"/>
        <v>135.07</v>
      </c>
      <c r="G27" s="483">
        <f t="shared" si="0"/>
        <v>270.14</v>
      </c>
      <c r="H27" s="480">
        <v>6.92</v>
      </c>
      <c r="I27" s="483">
        <f t="shared" si="1"/>
        <v>6.92</v>
      </c>
      <c r="J27" s="483">
        <f t="shared" si="2"/>
        <v>13.84</v>
      </c>
      <c r="K27" s="482">
        <f t="shared" si="12"/>
        <v>128.15</v>
      </c>
      <c r="L27" s="483">
        <f t="shared" si="3"/>
        <v>128.15</v>
      </c>
      <c r="M27" s="485">
        <f t="shared" si="4"/>
        <v>256.3</v>
      </c>
      <c r="N27" s="483">
        <v>121.9</v>
      </c>
      <c r="O27" s="483">
        <f t="shared" si="5"/>
        <v>121.9</v>
      </c>
      <c r="P27" s="482">
        <f t="shared" si="6"/>
        <v>243.8</v>
      </c>
      <c r="Q27" s="483">
        <f t="shared" si="7"/>
        <v>13.169999999999987</v>
      </c>
      <c r="R27" s="485">
        <f t="shared" si="7"/>
        <v>13.169999999999987</v>
      </c>
      <c r="S27" s="483">
        <f t="shared" si="8"/>
        <v>26.339999999999975</v>
      </c>
      <c r="T27" s="490" t="s">
        <v>611</v>
      </c>
      <c r="U27" s="420">
        <f t="shared" si="9"/>
        <v>1707</v>
      </c>
      <c r="V27" s="488">
        <f t="shared" si="10"/>
        <v>1707</v>
      </c>
      <c r="Y27" s="278"/>
      <c r="Z27" s="278"/>
    </row>
    <row r="28" spans="1:26" ht="17.25" customHeight="1">
      <c r="A28" s="260">
        <v>15</v>
      </c>
      <c r="B28" s="586" t="s">
        <v>734</v>
      </c>
      <c r="C28" s="488">
        <v>1875</v>
      </c>
      <c r="D28" s="488">
        <v>1682</v>
      </c>
      <c r="E28" s="480">
        <v>135</v>
      </c>
      <c r="F28" s="489">
        <f t="shared" si="11"/>
        <v>135</v>
      </c>
      <c r="G28" s="483">
        <f t="shared" si="0"/>
        <v>270</v>
      </c>
      <c r="H28" s="480">
        <v>6.91</v>
      </c>
      <c r="I28" s="483">
        <f t="shared" si="1"/>
        <v>6.91</v>
      </c>
      <c r="J28" s="483">
        <f t="shared" si="2"/>
        <v>13.82</v>
      </c>
      <c r="K28" s="482">
        <f t="shared" si="12"/>
        <v>128.09</v>
      </c>
      <c r="L28" s="483">
        <f t="shared" si="3"/>
        <v>128.09</v>
      </c>
      <c r="M28" s="485">
        <f t="shared" si="4"/>
        <v>256.18</v>
      </c>
      <c r="N28" s="483">
        <v>120.1</v>
      </c>
      <c r="O28" s="483">
        <f t="shared" si="5"/>
        <v>120.1</v>
      </c>
      <c r="P28" s="482">
        <f t="shared" si="6"/>
        <v>240.2</v>
      </c>
      <c r="Q28" s="483">
        <f t="shared" si="7"/>
        <v>14.900000000000006</v>
      </c>
      <c r="R28" s="485">
        <f t="shared" si="7"/>
        <v>14.900000000000006</v>
      </c>
      <c r="S28" s="483">
        <f t="shared" si="8"/>
        <v>29.80000000000001</v>
      </c>
      <c r="T28" s="490" t="s">
        <v>611</v>
      </c>
      <c r="U28" s="420">
        <f t="shared" si="9"/>
        <v>1682</v>
      </c>
      <c r="V28" s="488">
        <f t="shared" si="10"/>
        <v>1682</v>
      </c>
      <c r="Y28" s="278"/>
      <c r="Z28" s="278"/>
    </row>
    <row r="29" spans="1:26" ht="17.25" customHeight="1">
      <c r="A29" s="260">
        <v>16</v>
      </c>
      <c r="B29" s="586" t="s">
        <v>741</v>
      </c>
      <c r="C29" s="488">
        <v>2932</v>
      </c>
      <c r="D29" s="488">
        <v>2918</v>
      </c>
      <c r="E29" s="480">
        <v>211.1</v>
      </c>
      <c r="F29" s="489">
        <f t="shared" si="11"/>
        <v>211.1</v>
      </c>
      <c r="G29" s="483">
        <f t="shared" si="0"/>
        <v>422.2</v>
      </c>
      <c r="H29" s="480">
        <v>10.81</v>
      </c>
      <c r="I29" s="483">
        <f t="shared" si="1"/>
        <v>10.81</v>
      </c>
      <c r="J29" s="483">
        <f t="shared" si="2"/>
        <v>21.62</v>
      </c>
      <c r="K29" s="482">
        <f t="shared" si="12"/>
        <v>200.29</v>
      </c>
      <c r="L29" s="483">
        <f t="shared" si="3"/>
        <v>200.29</v>
      </c>
      <c r="M29" s="485">
        <f t="shared" si="4"/>
        <v>400.58</v>
      </c>
      <c r="N29" s="483">
        <v>208.37</v>
      </c>
      <c r="O29" s="483">
        <f t="shared" si="5"/>
        <v>208.37</v>
      </c>
      <c r="P29" s="482">
        <f t="shared" si="6"/>
        <v>416.74</v>
      </c>
      <c r="Q29" s="483">
        <f t="shared" si="7"/>
        <v>2.7299999999999898</v>
      </c>
      <c r="R29" s="485">
        <f t="shared" si="7"/>
        <v>2.7299999999999898</v>
      </c>
      <c r="S29" s="483">
        <f t="shared" si="8"/>
        <v>5.4599999999999795</v>
      </c>
      <c r="T29" s="490" t="s">
        <v>611</v>
      </c>
      <c r="U29" s="420">
        <f t="shared" si="9"/>
        <v>2918</v>
      </c>
      <c r="V29" s="488">
        <f t="shared" si="10"/>
        <v>2918</v>
      </c>
      <c r="Y29" s="278"/>
      <c r="Z29" s="278"/>
    </row>
    <row r="30" spans="1:26" ht="17.25" customHeight="1">
      <c r="A30" s="260">
        <v>17</v>
      </c>
      <c r="B30" s="586" t="s">
        <v>733</v>
      </c>
      <c r="C30" s="281">
        <v>1541</v>
      </c>
      <c r="D30" s="281">
        <v>1541</v>
      </c>
      <c r="E30" s="480">
        <v>110.95</v>
      </c>
      <c r="F30" s="489">
        <f t="shared" si="11"/>
        <v>110.95</v>
      </c>
      <c r="G30" s="483">
        <f t="shared" si="0"/>
        <v>221.9</v>
      </c>
      <c r="H30" s="282">
        <v>5.68</v>
      </c>
      <c r="I30" s="483">
        <f t="shared" si="1"/>
        <v>5.68</v>
      </c>
      <c r="J30" s="483">
        <f t="shared" si="2"/>
        <v>11.36</v>
      </c>
      <c r="K30" s="482">
        <f t="shared" si="12"/>
        <v>105.27000000000001</v>
      </c>
      <c r="L30" s="483">
        <f t="shared" si="3"/>
        <v>105.27000000000001</v>
      </c>
      <c r="M30" s="485">
        <f t="shared" si="4"/>
        <v>210.54000000000002</v>
      </c>
      <c r="N30" s="483">
        <v>110.02</v>
      </c>
      <c r="O30" s="483">
        <f t="shared" si="5"/>
        <v>110.02</v>
      </c>
      <c r="P30" s="482">
        <f t="shared" si="6"/>
        <v>220.04</v>
      </c>
      <c r="Q30" s="483">
        <f t="shared" si="7"/>
        <v>0.930000000000021</v>
      </c>
      <c r="R30" s="485">
        <f t="shared" si="7"/>
        <v>0.930000000000021</v>
      </c>
      <c r="S30" s="483">
        <f t="shared" si="8"/>
        <v>1.860000000000042</v>
      </c>
      <c r="T30" s="490" t="s">
        <v>611</v>
      </c>
      <c r="U30" s="420">
        <f t="shared" si="9"/>
        <v>1541</v>
      </c>
      <c r="V30" s="488">
        <f t="shared" si="10"/>
        <v>1541</v>
      </c>
      <c r="Y30" s="278"/>
      <c r="Z30" s="278"/>
    </row>
    <row r="31" spans="1:26" ht="17.25" customHeight="1">
      <c r="A31" s="260">
        <v>18</v>
      </c>
      <c r="B31" s="586" t="s">
        <v>735</v>
      </c>
      <c r="C31" s="281">
        <v>3487</v>
      </c>
      <c r="D31" s="281">
        <v>3225</v>
      </c>
      <c r="E31" s="480">
        <v>251.06</v>
      </c>
      <c r="F31" s="489">
        <f t="shared" si="11"/>
        <v>251.06</v>
      </c>
      <c r="G31" s="483">
        <f t="shared" si="0"/>
        <v>502.12</v>
      </c>
      <c r="H31" s="282">
        <v>12.85</v>
      </c>
      <c r="I31" s="483">
        <f t="shared" si="1"/>
        <v>12.85</v>
      </c>
      <c r="J31" s="483">
        <f t="shared" si="2"/>
        <v>25.7</v>
      </c>
      <c r="K31" s="482">
        <f t="shared" si="12"/>
        <v>238.21</v>
      </c>
      <c r="L31" s="483">
        <f t="shared" si="3"/>
        <v>238.21</v>
      </c>
      <c r="M31" s="485">
        <f t="shared" si="4"/>
        <v>476.42</v>
      </c>
      <c r="N31" s="483">
        <v>230.26</v>
      </c>
      <c r="O31" s="483">
        <f t="shared" si="5"/>
        <v>230.26</v>
      </c>
      <c r="P31" s="482">
        <f t="shared" si="6"/>
        <v>460.52</v>
      </c>
      <c r="Q31" s="483">
        <f t="shared" si="7"/>
        <v>20.80000000000001</v>
      </c>
      <c r="R31" s="485">
        <f t="shared" si="7"/>
        <v>20.80000000000001</v>
      </c>
      <c r="S31" s="483">
        <f t="shared" si="8"/>
        <v>41.60000000000002</v>
      </c>
      <c r="T31" s="490" t="s">
        <v>611</v>
      </c>
      <c r="U31" s="420">
        <f t="shared" si="9"/>
        <v>3225</v>
      </c>
      <c r="V31" s="488">
        <f t="shared" si="10"/>
        <v>3225</v>
      </c>
      <c r="Y31" s="278"/>
      <c r="Z31" s="278"/>
    </row>
    <row r="32" spans="1:26" ht="17.25" customHeight="1">
      <c r="A32" s="260">
        <v>19</v>
      </c>
      <c r="B32" s="586" t="s">
        <v>732</v>
      </c>
      <c r="C32" s="281">
        <v>2957</v>
      </c>
      <c r="D32" s="281">
        <v>2939</v>
      </c>
      <c r="E32" s="480">
        <v>212.9</v>
      </c>
      <c r="F32" s="489">
        <f t="shared" si="11"/>
        <v>212.9</v>
      </c>
      <c r="G32" s="483">
        <f t="shared" si="0"/>
        <v>425.8</v>
      </c>
      <c r="H32" s="282">
        <v>10.9</v>
      </c>
      <c r="I32" s="483">
        <f t="shared" si="1"/>
        <v>10.9</v>
      </c>
      <c r="J32" s="483">
        <f t="shared" si="2"/>
        <v>21.8</v>
      </c>
      <c r="K32" s="482">
        <f t="shared" si="12"/>
        <v>202</v>
      </c>
      <c r="L32" s="483">
        <f t="shared" si="3"/>
        <v>202</v>
      </c>
      <c r="M32" s="485">
        <f t="shared" si="4"/>
        <v>404</v>
      </c>
      <c r="N32" s="483">
        <v>209.88</v>
      </c>
      <c r="O32" s="483">
        <f t="shared" si="5"/>
        <v>209.88</v>
      </c>
      <c r="P32" s="482">
        <f t="shared" si="6"/>
        <v>419.76</v>
      </c>
      <c r="Q32" s="483">
        <f t="shared" si="7"/>
        <v>3.0200000000000102</v>
      </c>
      <c r="R32" s="485">
        <f t="shared" si="7"/>
        <v>3.0200000000000102</v>
      </c>
      <c r="S32" s="483">
        <f t="shared" si="8"/>
        <v>6.0400000000000205</v>
      </c>
      <c r="T32" s="490" t="s">
        <v>611</v>
      </c>
      <c r="U32" s="420">
        <f t="shared" si="9"/>
        <v>2939</v>
      </c>
      <c r="V32" s="488">
        <f t="shared" si="10"/>
        <v>2939</v>
      </c>
      <c r="Y32" s="278"/>
      <c r="Z32" s="278"/>
    </row>
    <row r="33" spans="1:26" ht="17.25" customHeight="1">
      <c r="A33" s="260">
        <v>20</v>
      </c>
      <c r="B33" s="586" t="s">
        <v>836</v>
      </c>
      <c r="C33" s="281">
        <v>2847</v>
      </c>
      <c r="D33" s="281">
        <v>2654</v>
      </c>
      <c r="E33" s="480">
        <v>170.82</v>
      </c>
      <c r="F33" s="489">
        <f t="shared" si="11"/>
        <v>170.82</v>
      </c>
      <c r="G33" s="483">
        <f t="shared" si="0"/>
        <v>341.64</v>
      </c>
      <c r="H33" s="282">
        <v>8.75</v>
      </c>
      <c r="I33" s="483">
        <f t="shared" si="1"/>
        <v>8.75</v>
      </c>
      <c r="J33" s="483">
        <f t="shared" si="2"/>
        <v>17.5</v>
      </c>
      <c r="K33" s="482">
        <f t="shared" si="12"/>
        <v>162.07</v>
      </c>
      <c r="L33" s="483">
        <f t="shared" si="3"/>
        <v>162.07</v>
      </c>
      <c r="M33" s="485">
        <f t="shared" si="4"/>
        <v>324.14</v>
      </c>
      <c r="N33" s="483">
        <v>157.92</v>
      </c>
      <c r="O33" s="483">
        <f t="shared" si="5"/>
        <v>157.92</v>
      </c>
      <c r="P33" s="482">
        <f t="shared" si="6"/>
        <v>315.84</v>
      </c>
      <c r="Q33" s="483">
        <f t="shared" si="7"/>
        <v>12.900000000000006</v>
      </c>
      <c r="R33" s="485">
        <f t="shared" si="7"/>
        <v>12.900000000000006</v>
      </c>
      <c r="S33" s="483">
        <f t="shared" si="8"/>
        <v>25.80000000000001</v>
      </c>
      <c r="T33" s="490" t="s">
        <v>611</v>
      </c>
      <c r="U33" s="420">
        <f t="shared" si="9"/>
        <v>2654</v>
      </c>
      <c r="V33" s="488">
        <f t="shared" si="10"/>
        <v>2654</v>
      </c>
      <c r="Y33" s="278"/>
      <c r="Z33" s="278"/>
    </row>
    <row r="34" spans="1:26" ht="17.25" customHeight="1">
      <c r="A34" s="260">
        <v>21</v>
      </c>
      <c r="B34" s="586" t="s">
        <v>729</v>
      </c>
      <c r="C34" s="281">
        <v>2290</v>
      </c>
      <c r="D34" s="281">
        <v>2033</v>
      </c>
      <c r="E34" s="480">
        <v>164.88</v>
      </c>
      <c r="F34" s="489">
        <f t="shared" si="11"/>
        <v>164.88</v>
      </c>
      <c r="G34" s="483">
        <f t="shared" si="0"/>
        <v>329.76</v>
      </c>
      <c r="H34" s="282">
        <v>8.44</v>
      </c>
      <c r="I34" s="483">
        <f t="shared" si="1"/>
        <v>8.44</v>
      </c>
      <c r="J34" s="483">
        <f t="shared" si="2"/>
        <v>16.88</v>
      </c>
      <c r="K34" s="482">
        <f t="shared" si="12"/>
        <v>156.44</v>
      </c>
      <c r="L34" s="483">
        <f t="shared" si="3"/>
        <v>156.44</v>
      </c>
      <c r="M34" s="485">
        <f t="shared" si="4"/>
        <v>312.88</v>
      </c>
      <c r="N34" s="483">
        <v>145.15</v>
      </c>
      <c r="O34" s="483">
        <f t="shared" si="5"/>
        <v>145.15</v>
      </c>
      <c r="P34" s="482">
        <f t="shared" si="6"/>
        <v>290.3</v>
      </c>
      <c r="Q34" s="483">
        <f t="shared" si="7"/>
        <v>19.72999999999999</v>
      </c>
      <c r="R34" s="485">
        <f t="shared" si="7"/>
        <v>19.72999999999999</v>
      </c>
      <c r="S34" s="483">
        <f t="shared" si="8"/>
        <v>39.45999999999998</v>
      </c>
      <c r="T34" s="490" t="s">
        <v>611</v>
      </c>
      <c r="U34" s="420">
        <f t="shared" si="9"/>
        <v>2033</v>
      </c>
      <c r="V34" s="488">
        <f t="shared" si="10"/>
        <v>2033</v>
      </c>
      <c r="Y34" s="278"/>
      <c r="Z34" s="278"/>
    </row>
    <row r="35" spans="1:26" ht="17.25" customHeight="1">
      <c r="A35" s="260">
        <v>22</v>
      </c>
      <c r="B35" s="586" t="s">
        <v>746</v>
      </c>
      <c r="C35" s="281">
        <v>2655</v>
      </c>
      <c r="D35" s="281">
        <v>2460</v>
      </c>
      <c r="E35" s="480">
        <v>191.16</v>
      </c>
      <c r="F35" s="489">
        <f t="shared" si="11"/>
        <v>191.16</v>
      </c>
      <c r="G35" s="483">
        <f t="shared" si="0"/>
        <v>382.32</v>
      </c>
      <c r="H35" s="282">
        <v>9.79</v>
      </c>
      <c r="I35" s="483">
        <f t="shared" si="1"/>
        <v>9.79</v>
      </c>
      <c r="J35" s="483">
        <f t="shared" si="2"/>
        <v>19.58</v>
      </c>
      <c r="K35" s="482">
        <f t="shared" si="12"/>
        <v>181.37</v>
      </c>
      <c r="L35" s="483">
        <f t="shared" si="3"/>
        <v>181.37</v>
      </c>
      <c r="M35" s="485">
        <f t="shared" si="4"/>
        <v>362.74</v>
      </c>
      <c r="N35" s="483">
        <v>175.68</v>
      </c>
      <c r="O35" s="483">
        <f t="shared" si="5"/>
        <v>175.68</v>
      </c>
      <c r="P35" s="482">
        <f t="shared" si="6"/>
        <v>351.36</v>
      </c>
      <c r="Q35" s="483">
        <f t="shared" si="7"/>
        <v>15.47999999999999</v>
      </c>
      <c r="R35" s="485">
        <f t="shared" si="7"/>
        <v>15.47999999999999</v>
      </c>
      <c r="S35" s="483">
        <f t="shared" si="8"/>
        <v>30.95999999999998</v>
      </c>
      <c r="T35" s="490" t="s">
        <v>611</v>
      </c>
      <c r="U35" s="420">
        <f t="shared" si="9"/>
        <v>2460</v>
      </c>
      <c r="V35" s="488">
        <f t="shared" si="10"/>
        <v>2460</v>
      </c>
      <c r="Y35" s="278"/>
      <c r="Z35" s="278"/>
    </row>
    <row r="36" spans="1:26" ht="17.25" customHeight="1">
      <c r="A36" s="260">
        <v>23</v>
      </c>
      <c r="B36" s="586" t="s">
        <v>738</v>
      </c>
      <c r="C36" s="488">
        <v>1763</v>
      </c>
      <c r="D36" s="488">
        <v>1765</v>
      </c>
      <c r="E36" s="480">
        <v>126.94</v>
      </c>
      <c r="F36" s="489">
        <f t="shared" si="11"/>
        <v>126.94</v>
      </c>
      <c r="G36" s="483">
        <f t="shared" si="0"/>
        <v>253.88</v>
      </c>
      <c r="H36" s="480">
        <v>6.5</v>
      </c>
      <c r="I36" s="483">
        <f t="shared" si="1"/>
        <v>6.5</v>
      </c>
      <c r="J36" s="483">
        <f t="shared" si="2"/>
        <v>13</v>
      </c>
      <c r="K36" s="482">
        <f t="shared" si="12"/>
        <v>120.44</v>
      </c>
      <c r="L36" s="483">
        <f t="shared" si="3"/>
        <v>120.44</v>
      </c>
      <c r="M36" s="485">
        <f t="shared" si="4"/>
        <v>240.88</v>
      </c>
      <c r="N36" s="483">
        <v>126</v>
      </c>
      <c r="O36" s="483">
        <f t="shared" si="5"/>
        <v>126</v>
      </c>
      <c r="P36" s="482">
        <f t="shared" si="6"/>
        <v>252</v>
      </c>
      <c r="Q36" s="483">
        <f t="shared" si="7"/>
        <v>0.9399999999999977</v>
      </c>
      <c r="R36" s="485">
        <f t="shared" si="7"/>
        <v>0.9399999999999977</v>
      </c>
      <c r="S36" s="483">
        <f t="shared" si="8"/>
        <v>1.8799999999999955</v>
      </c>
      <c r="T36" s="490" t="s">
        <v>611</v>
      </c>
      <c r="U36" s="420">
        <f t="shared" si="9"/>
        <v>1765</v>
      </c>
      <c r="V36" s="488">
        <f t="shared" si="10"/>
        <v>1765</v>
      </c>
      <c r="Y36" s="278"/>
      <c r="Z36" s="278"/>
    </row>
    <row r="37" spans="1:26" ht="17.25" customHeight="1">
      <c r="A37" s="260">
        <v>24</v>
      </c>
      <c r="B37" s="586" t="s">
        <v>730</v>
      </c>
      <c r="C37" s="281">
        <v>2589</v>
      </c>
      <c r="D37" s="281">
        <v>2413</v>
      </c>
      <c r="E37" s="480">
        <v>186.41</v>
      </c>
      <c r="F37" s="489">
        <f t="shared" si="11"/>
        <v>186.41</v>
      </c>
      <c r="G37" s="483">
        <f t="shared" si="0"/>
        <v>372.82</v>
      </c>
      <c r="H37" s="282">
        <v>9.54</v>
      </c>
      <c r="I37" s="483">
        <f t="shared" si="1"/>
        <v>9.54</v>
      </c>
      <c r="J37" s="483">
        <f t="shared" si="2"/>
        <v>19.08</v>
      </c>
      <c r="K37" s="482">
        <f t="shared" si="12"/>
        <v>176.87</v>
      </c>
      <c r="L37" s="483">
        <f t="shared" si="3"/>
        <v>176.87</v>
      </c>
      <c r="M37" s="485">
        <f t="shared" si="4"/>
        <v>353.74</v>
      </c>
      <c r="N37" s="483">
        <v>172.3</v>
      </c>
      <c r="O37" s="483">
        <f t="shared" si="5"/>
        <v>172.3</v>
      </c>
      <c r="P37" s="482">
        <f t="shared" si="6"/>
        <v>344.6</v>
      </c>
      <c r="Q37" s="483">
        <f t="shared" si="7"/>
        <v>14.109999999999985</v>
      </c>
      <c r="R37" s="485">
        <f t="shared" si="7"/>
        <v>14.109999999999985</v>
      </c>
      <c r="S37" s="483">
        <f t="shared" si="8"/>
        <v>28.21999999999997</v>
      </c>
      <c r="T37" s="490" t="s">
        <v>611</v>
      </c>
      <c r="U37" s="420">
        <f t="shared" si="9"/>
        <v>2413</v>
      </c>
      <c r="V37" s="488">
        <f t="shared" si="10"/>
        <v>2413</v>
      </c>
      <c r="Y37" s="278"/>
      <c r="Z37" s="278"/>
    </row>
    <row r="38" spans="1:26" ht="17.25" customHeight="1">
      <c r="A38" s="260">
        <v>25</v>
      </c>
      <c r="B38" s="586" t="s">
        <v>736</v>
      </c>
      <c r="C38" s="488">
        <v>1054</v>
      </c>
      <c r="D38" s="488">
        <v>960</v>
      </c>
      <c r="E38" s="480">
        <v>75.89</v>
      </c>
      <c r="F38" s="489">
        <f t="shared" si="11"/>
        <v>75.89</v>
      </c>
      <c r="G38" s="483">
        <f t="shared" si="0"/>
        <v>151.78</v>
      </c>
      <c r="H38" s="480">
        <v>3.89</v>
      </c>
      <c r="I38" s="483">
        <f t="shared" si="1"/>
        <v>3.89</v>
      </c>
      <c r="J38" s="483">
        <f t="shared" si="2"/>
        <v>7.78</v>
      </c>
      <c r="K38" s="482">
        <f t="shared" si="12"/>
        <v>72</v>
      </c>
      <c r="L38" s="483">
        <f t="shared" si="3"/>
        <v>72</v>
      </c>
      <c r="M38" s="485">
        <f t="shared" si="4"/>
        <v>144</v>
      </c>
      <c r="N38" s="483">
        <v>68.54</v>
      </c>
      <c r="O38" s="483">
        <f t="shared" si="5"/>
        <v>68.54</v>
      </c>
      <c r="P38" s="482">
        <f t="shared" si="6"/>
        <v>137.08</v>
      </c>
      <c r="Q38" s="483">
        <f t="shared" si="7"/>
        <v>7.349999999999994</v>
      </c>
      <c r="R38" s="485">
        <f t="shared" si="7"/>
        <v>7.349999999999994</v>
      </c>
      <c r="S38" s="483">
        <f t="shared" si="8"/>
        <v>14.699999999999989</v>
      </c>
      <c r="T38" s="490" t="s">
        <v>611</v>
      </c>
      <c r="U38" s="420">
        <f t="shared" si="9"/>
        <v>960</v>
      </c>
      <c r="V38" s="488">
        <f t="shared" si="10"/>
        <v>960</v>
      </c>
      <c r="Y38" s="278"/>
      <c r="Z38" s="278"/>
    </row>
    <row r="39" spans="1:26" ht="17.25" customHeight="1">
      <c r="A39" s="260">
        <v>26</v>
      </c>
      <c r="B39" s="586" t="s">
        <v>744</v>
      </c>
      <c r="C39" s="488">
        <v>987</v>
      </c>
      <c r="D39" s="488">
        <v>950</v>
      </c>
      <c r="E39" s="480">
        <v>71.06</v>
      </c>
      <c r="F39" s="489">
        <f t="shared" si="11"/>
        <v>71.06</v>
      </c>
      <c r="G39" s="483">
        <f t="shared" si="0"/>
        <v>142.12</v>
      </c>
      <c r="H39" s="480">
        <v>3.64</v>
      </c>
      <c r="I39" s="483">
        <f t="shared" si="1"/>
        <v>3.64</v>
      </c>
      <c r="J39" s="483">
        <f t="shared" si="2"/>
        <v>7.28</v>
      </c>
      <c r="K39" s="482">
        <f t="shared" si="12"/>
        <v>67.42</v>
      </c>
      <c r="L39" s="483">
        <f t="shared" si="3"/>
        <v>67.42</v>
      </c>
      <c r="M39" s="485">
        <f t="shared" si="4"/>
        <v>134.84</v>
      </c>
      <c r="N39" s="483">
        <v>67.82</v>
      </c>
      <c r="O39" s="483">
        <f t="shared" si="5"/>
        <v>67.82</v>
      </c>
      <c r="P39" s="482">
        <f t="shared" si="6"/>
        <v>135.64</v>
      </c>
      <c r="Q39" s="483">
        <f t="shared" si="7"/>
        <v>3.240000000000009</v>
      </c>
      <c r="R39" s="485">
        <f t="shared" si="7"/>
        <v>3.240000000000009</v>
      </c>
      <c r="S39" s="483">
        <f t="shared" si="8"/>
        <v>6.480000000000018</v>
      </c>
      <c r="T39" s="490" t="s">
        <v>611</v>
      </c>
      <c r="U39" s="420">
        <f t="shared" si="9"/>
        <v>950</v>
      </c>
      <c r="V39" s="488">
        <f t="shared" si="10"/>
        <v>950</v>
      </c>
      <c r="Y39" s="278"/>
      <c r="Z39" s="278"/>
    </row>
    <row r="40" spans="1:26" ht="17.25" customHeight="1">
      <c r="A40" s="262">
        <v>27</v>
      </c>
      <c r="B40" s="586" t="s">
        <v>745</v>
      </c>
      <c r="C40" s="281">
        <v>1789</v>
      </c>
      <c r="D40" s="281">
        <v>1714</v>
      </c>
      <c r="E40" s="480">
        <v>131.21</v>
      </c>
      <c r="F40" s="489">
        <f t="shared" si="11"/>
        <v>131.21</v>
      </c>
      <c r="G40" s="483">
        <f t="shared" si="0"/>
        <v>262.42</v>
      </c>
      <c r="H40" s="282">
        <v>6.72</v>
      </c>
      <c r="I40" s="483">
        <f t="shared" si="1"/>
        <v>6.72</v>
      </c>
      <c r="J40" s="483">
        <f t="shared" si="2"/>
        <v>13.44</v>
      </c>
      <c r="K40" s="482">
        <f t="shared" si="12"/>
        <v>124.49000000000001</v>
      </c>
      <c r="L40" s="483">
        <f t="shared" si="3"/>
        <v>124.49000000000001</v>
      </c>
      <c r="M40" s="485">
        <f t="shared" si="4"/>
        <v>248.98000000000002</v>
      </c>
      <c r="N40" s="483">
        <v>122.4</v>
      </c>
      <c r="O40" s="483">
        <f t="shared" si="5"/>
        <v>122.4</v>
      </c>
      <c r="P40" s="482">
        <f t="shared" si="6"/>
        <v>244.8</v>
      </c>
      <c r="Q40" s="483">
        <f t="shared" si="7"/>
        <v>8.810000000000002</v>
      </c>
      <c r="R40" s="485">
        <f t="shared" si="7"/>
        <v>8.810000000000002</v>
      </c>
      <c r="S40" s="483">
        <f t="shared" si="8"/>
        <v>17.620000000000005</v>
      </c>
      <c r="T40" s="490" t="s">
        <v>611</v>
      </c>
      <c r="U40" s="420">
        <f t="shared" si="9"/>
        <v>1714</v>
      </c>
      <c r="V40" s="488">
        <f t="shared" si="10"/>
        <v>1714</v>
      </c>
      <c r="Y40" s="278"/>
      <c r="Z40" s="278"/>
    </row>
    <row r="41" spans="1:22" ht="15">
      <c r="A41" s="487" t="s">
        <v>19</v>
      </c>
      <c r="B41" s="51"/>
      <c r="C41" s="487">
        <f>SUM(C14:C40)</f>
        <v>62056</v>
      </c>
      <c r="D41" s="491">
        <f>SUM(D14:D40)</f>
        <v>58991</v>
      </c>
      <c r="E41" s="491">
        <f>SUM(E14:E40)</f>
        <v>4288.360000000001</v>
      </c>
      <c r="F41" s="491">
        <f aca="true" t="shared" si="13" ref="F41:M41">SUM(F14:F40)</f>
        <v>4288.360000000001</v>
      </c>
      <c r="G41" s="491">
        <f t="shared" si="13"/>
        <v>8576.720000000001</v>
      </c>
      <c r="H41" s="504">
        <f t="shared" si="13"/>
        <v>219.57999999999996</v>
      </c>
      <c r="I41" s="504">
        <f t="shared" si="13"/>
        <v>219.57999999999996</v>
      </c>
      <c r="J41" s="491">
        <f t="shared" si="13"/>
        <v>439.1599999999999</v>
      </c>
      <c r="K41" s="504">
        <f t="shared" si="13"/>
        <v>4068.7799999999997</v>
      </c>
      <c r="L41" s="504">
        <f t="shared" si="13"/>
        <v>4068.7799999999997</v>
      </c>
      <c r="M41" s="491">
        <f t="shared" si="13"/>
        <v>8137.5599999999995</v>
      </c>
      <c r="N41" s="504">
        <f aca="true" t="shared" si="14" ref="N41:S41">SUM(N14:N40)</f>
        <v>4034.2400000000007</v>
      </c>
      <c r="O41" s="504">
        <f t="shared" si="14"/>
        <v>4034.2400000000007</v>
      </c>
      <c r="P41" s="504">
        <f t="shared" si="14"/>
        <v>8068.480000000001</v>
      </c>
      <c r="Q41" s="504">
        <f t="shared" si="14"/>
        <v>254.12</v>
      </c>
      <c r="R41" s="504">
        <f t="shared" si="14"/>
        <v>254.12</v>
      </c>
      <c r="S41" s="504">
        <f t="shared" si="14"/>
        <v>508.24</v>
      </c>
      <c r="T41" s="490" t="s">
        <v>611</v>
      </c>
      <c r="U41" s="491">
        <f>SUM(U14:U40)</f>
        <v>58991</v>
      </c>
      <c r="V41" s="491">
        <f>SUM(V14:V40)</f>
        <v>58991</v>
      </c>
    </row>
    <row r="42" ht="22.5" customHeight="1">
      <c r="A42" s="15" t="s">
        <v>779</v>
      </c>
    </row>
    <row r="47" spans="1:22" ht="12.75" customHeight="1">
      <c r="A47" s="14" t="s">
        <v>12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/>
      <c r="O47" s="15"/>
      <c r="P47" s="83"/>
      <c r="Q47" s="14"/>
      <c r="R47" s="14"/>
      <c r="S47" s="881" t="s">
        <v>13</v>
      </c>
      <c r="T47" s="881"/>
      <c r="U47" s="83"/>
      <c r="V47" s="14"/>
    </row>
    <row r="48" spans="1:22" ht="12.7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81" t="s">
        <v>14</v>
      </c>
      <c r="S48" s="881"/>
      <c r="T48" s="881"/>
      <c r="U48" s="881"/>
      <c r="V48" s="83"/>
    </row>
    <row r="49" spans="1:22" ht="12.7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81" t="s">
        <v>637</v>
      </c>
      <c r="R49" s="881"/>
      <c r="S49" s="881"/>
      <c r="T49" s="881"/>
      <c r="U49" s="881"/>
      <c r="V49" s="881"/>
    </row>
    <row r="50" spans="15:22" ht="12.75">
      <c r="O50" s="35"/>
      <c r="P50" s="35"/>
      <c r="Q50" s="14"/>
      <c r="R50" s="14"/>
      <c r="S50" s="1" t="s">
        <v>84</v>
      </c>
      <c r="T50" s="1"/>
      <c r="U50" s="1"/>
      <c r="V50" s="1"/>
    </row>
  </sheetData>
  <sheetProtection/>
  <mergeCells count="21">
    <mergeCell ref="S47:T47"/>
    <mergeCell ref="Q49:V49"/>
    <mergeCell ref="V11:V12"/>
    <mergeCell ref="U11:U12"/>
    <mergeCell ref="T11:T12"/>
    <mergeCell ref="Q11:S11"/>
    <mergeCell ref="E11:G11"/>
    <mergeCell ref="B11:B12"/>
    <mergeCell ref="N11:P11"/>
    <mergeCell ref="A11:A12"/>
    <mergeCell ref="R48:U48"/>
    <mergeCell ref="Q1:S1"/>
    <mergeCell ref="A3:Q3"/>
    <mergeCell ref="A8:S8"/>
    <mergeCell ref="P9:S9"/>
    <mergeCell ref="C11:C12"/>
    <mergeCell ref="K11:M11"/>
    <mergeCell ref="D11:D12"/>
    <mergeCell ref="A4:P4"/>
    <mergeCell ref="P10:S10"/>
    <mergeCell ref="H11:J11"/>
  </mergeCells>
  <printOptions horizontalCentered="1"/>
  <pageMargins left="0.7086614173228347" right="0.7086614173228347" top="0.81" bottom="0" header="1.18" footer="0.31496062992125984"/>
  <pageSetup fitToHeight="1" fitToWidth="1" horizontalDpi="600" verticalDpi="600" orientation="landscape" paperSize="9" scale="5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W48"/>
  <sheetViews>
    <sheetView view="pageBreakPreview" zoomScale="80" zoomScaleSheetLayoutView="80" zoomScalePageLayoutView="0" workbookViewId="0" topLeftCell="K23">
      <selection activeCell="W16" sqref="W1:AB16384"/>
    </sheetView>
  </sheetViews>
  <sheetFormatPr defaultColWidth="9.140625" defaultRowHeight="12.75"/>
  <cols>
    <col min="2" max="2" width="14.57421875" style="0" customWidth="1"/>
    <col min="3" max="3" width="14.140625" style="0" customWidth="1"/>
    <col min="4" max="4" width="11.140625" style="0" customWidth="1"/>
    <col min="5" max="5" width="12.421875" style="0" customWidth="1"/>
    <col min="6" max="6" width="12.00390625" style="0" customWidth="1"/>
    <col min="7" max="7" width="11.57421875" style="0" customWidth="1"/>
    <col min="20" max="20" width="10.57421875" style="0" customWidth="1"/>
    <col min="21" max="21" width="11.140625" style="0" customWidth="1"/>
    <col min="22" max="22" width="11.8515625" style="0" customWidth="1"/>
  </cols>
  <sheetData>
    <row r="1" spans="17:19" ht="15">
      <c r="Q1" s="1000" t="s">
        <v>222</v>
      </c>
      <c r="R1" s="1000"/>
      <c r="S1" s="1000"/>
    </row>
    <row r="3" spans="1:17" ht="15">
      <c r="A3" s="969" t="s">
        <v>0</v>
      </c>
      <c r="B3" s="969"/>
      <c r="C3" s="969"/>
      <c r="D3" s="969"/>
      <c r="E3" s="969"/>
      <c r="F3" s="969"/>
      <c r="G3" s="969"/>
      <c r="H3" s="969"/>
      <c r="I3" s="969"/>
      <c r="J3" s="969"/>
      <c r="K3" s="969"/>
      <c r="L3" s="969"/>
      <c r="M3" s="969"/>
      <c r="N3" s="969"/>
      <c r="O3" s="969"/>
      <c r="P3" s="969"/>
      <c r="Q3" s="969"/>
    </row>
    <row r="4" spans="1:17" ht="20.25">
      <c r="A4" s="952" t="s">
        <v>859</v>
      </c>
      <c r="B4" s="952"/>
      <c r="C4" s="952"/>
      <c r="D4" s="952"/>
      <c r="E4" s="952"/>
      <c r="F4" s="952"/>
      <c r="G4" s="952"/>
      <c r="H4" s="952"/>
      <c r="I4" s="952"/>
      <c r="J4" s="952"/>
      <c r="K4" s="952"/>
      <c r="L4" s="952"/>
      <c r="M4" s="952"/>
      <c r="N4" s="952"/>
      <c r="O4" s="952"/>
      <c r="P4" s="952"/>
      <c r="Q4" s="43"/>
    </row>
    <row r="5" spans="1:17" ht="15.75">
      <c r="A5" s="35" t="s">
        <v>634</v>
      </c>
      <c r="B5" s="3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</row>
    <row r="6" spans="1:21" ht="12.75">
      <c r="A6" s="35"/>
      <c r="B6" s="35"/>
      <c r="C6" s="151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U6" s="35"/>
    </row>
    <row r="7" spans="1:19" ht="15.75">
      <c r="A7" s="903" t="s">
        <v>437</v>
      </c>
      <c r="B7" s="903"/>
      <c r="C7" s="903"/>
      <c r="D7" s="903"/>
      <c r="E7" s="903"/>
      <c r="F7" s="903"/>
      <c r="G7" s="903"/>
      <c r="H7" s="903"/>
      <c r="I7" s="903"/>
      <c r="J7" s="903"/>
      <c r="K7" s="903"/>
      <c r="L7" s="903"/>
      <c r="M7" s="903"/>
      <c r="N7" s="903"/>
      <c r="O7" s="903"/>
      <c r="P7" s="903"/>
      <c r="Q7" s="903"/>
      <c r="R7" s="903"/>
      <c r="S7" s="903"/>
    </row>
    <row r="8" spans="1:21" ht="15.75">
      <c r="A8" s="46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1001" t="s">
        <v>241</v>
      </c>
      <c r="Q8" s="1001"/>
      <c r="R8" s="1001"/>
      <c r="S8" s="1001"/>
      <c r="U8" s="39"/>
    </row>
    <row r="9" spans="16:19" ht="12.75">
      <c r="P9" s="980" t="s">
        <v>936</v>
      </c>
      <c r="Q9" s="980"/>
      <c r="R9" s="980"/>
      <c r="S9" s="980"/>
    </row>
    <row r="10" spans="1:22" ht="28.5" customHeight="1">
      <c r="A10" s="1004" t="s">
        <v>24</v>
      </c>
      <c r="B10" s="963" t="s">
        <v>220</v>
      </c>
      <c r="C10" s="963" t="s">
        <v>371</v>
      </c>
      <c r="D10" s="963" t="s">
        <v>477</v>
      </c>
      <c r="E10" s="904" t="s">
        <v>952</v>
      </c>
      <c r="F10" s="904"/>
      <c r="G10" s="904"/>
      <c r="H10" s="894" t="s">
        <v>953</v>
      </c>
      <c r="I10" s="895"/>
      <c r="J10" s="896"/>
      <c r="K10" s="921" t="s">
        <v>373</v>
      </c>
      <c r="L10" s="870"/>
      <c r="M10" s="995"/>
      <c r="N10" s="974" t="s">
        <v>169</v>
      </c>
      <c r="O10" s="1002"/>
      <c r="P10" s="1003"/>
      <c r="Q10" s="871" t="s">
        <v>828</v>
      </c>
      <c r="R10" s="871"/>
      <c r="S10" s="871"/>
      <c r="T10" s="963" t="s">
        <v>268</v>
      </c>
      <c r="U10" s="963" t="s">
        <v>425</v>
      </c>
      <c r="V10" s="963" t="s">
        <v>374</v>
      </c>
    </row>
    <row r="11" spans="1:22" ht="56.25" customHeight="1">
      <c r="A11" s="1005"/>
      <c r="B11" s="964"/>
      <c r="C11" s="964"/>
      <c r="D11" s="964"/>
      <c r="E11" s="5" t="s">
        <v>191</v>
      </c>
      <c r="F11" s="5" t="s">
        <v>221</v>
      </c>
      <c r="G11" s="5" t="s">
        <v>19</v>
      </c>
      <c r="H11" s="5" t="s">
        <v>191</v>
      </c>
      <c r="I11" s="5" t="s">
        <v>221</v>
      </c>
      <c r="J11" s="5" t="s">
        <v>19</v>
      </c>
      <c r="K11" s="5" t="s">
        <v>191</v>
      </c>
      <c r="L11" s="5" t="s">
        <v>221</v>
      </c>
      <c r="M11" s="5" t="s">
        <v>19</v>
      </c>
      <c r="N11" s="5" t="s">
        <v>191</v>
      </c>
      <c r="O11" s="5" t="s">
        <v>221</v>
      </c>
      <c r="P11" s="5" t="s">
        <v>19</v>
      </c>
      <c r="Q11" s="5" t="s">
        <v>255</v>
      </c>
      <c r="R11" s="5" t="s">
        <v>233</v>
      </c>
      <c r="S11" s="5" t="s">
        <v>234</v>
      </c>
      <c r="T11" s="964"/>
      <c r="U11" s="964"/>
      <c r="V11" s="964"/>
    </row>
    <row r="12" spans="1:22" ht="12.75">
      <c r="A12" s="150">
        <v>1</v>
      </c>
      <c r="B12" s="105">
        <v>2</v>
      </c>
      <c r="C12" s="8">
        <v>3</v>
      </c>
      <c r="D12" s="150">
        <v>4</v>
      </c>
      <c r="E12" s="105">
        <v>5</v>
      </c>
      <c r="F12" s="8">
        <v>6</v>
      </c>
      <c r="G12" s="150">
        <v>7</v>
      </c>
      <c r="H12" s="105">
        <v>8</v>
      </c>
      <c r="I12" s="8">
        <v>9</v>
      </c>
      <c r="J12" s="150">
        <v>10</v>
      </c>
      <c r="K12" s="105">
        <v>11</v>
      </c>
      <c r="L12" s="8">
        <v>12</v>
      </c>
      <c r="M12" s="150">
        <v>13</v>
      </c>
      <c r="N12" s="105">
        <v>14</v>
      </c>
      <c r="O12" s="8">
        <v>15</v>
      </c>
      <c r="P12" s="150">
        <v>16</v>
      </c>
      <c r="Q12" s="105">
        <v>17</v>
      </c>
      <c r="R12" s="8">
        <v>18</v>
      </c>
      <c r="S12" s="150">
        <v>19</v>
      </c>
      <c r="T12" s="105">
        <v>20</v>
      </c>
      <c r="U12" s="150">
        <v>21</v>
      </c>
      <c r="V12" s="105">
        <v>22</v>
      </c>
    </row>
    <row r="13" spans="1:22" ht="18" customHeight="1">
      <c r="A13" s="262">
        <v>1</v>
      </c>
      <c r="B13" s="647" t="s">
        <v>898</v>
      </c>
      <c r="C13" s="420">
        <v>1177</v>
      </c>
      <c r="D13" s="420">
        <v>1148</v>
      </c>
      <c r="E13" s="480">
        <v>70.62</v>
      </c>
      <c r="F13" s="481">
        <f aca="true" t="shared" si="0" ref="F13:F39">E13</f>
        <v>70.62</v>
      </c>
      <c r="G13" s="510">
        <f aca="true" t="shared" si="1" ref="G13:G39">SUM(E13:F13)</f>
        <v>141.24</v>
      </c>
      <c r="H13" s="420">
        <v>4.61</v>
      </c>
      <c r="I13" s="482">
        <f aca="true" t="shared" si="2" ref="I13:I39">H13</f>
        <v>4.61</v>
      </c>
      <c r="J13" s="483">
        <f aca="true" t="shared" si="3" ref="J13:J39">H13+I13</f>
        <v>9.22</v>
      </c>
      <c r="K13" s="484">
        <f>E13-H13</f>
        <v>66.01</v>
      </c>
      <c r="L13" s="510">
        <f aca="true" t="shared" si="4" ref="L13:L39">K13</f>
        <v>66.01</v>
      </c>
      <c r="M13" s="482">
        <f aca="true" t="shared" si="5" ref="M13:M39">SUM(K13:L13)</f>
        <v>132.02</v>
      </c>
      <c r="N13" s="482">
        <v>68.1</v>
      </c>
      <c r="O13" s="483">
        <f aca="true" t="shared" si="6" ref="O13:O39">N13</f>
        <v>68.1</v>
      </c>
      <c r="P13" s="484">
        <f aca="true" t="shared" si="7" ref="P13:P39">SUM(N13:O13)</f>
        <v>136.2</v>
      </c>
      <c r="Q13" s="510">
        <f aca="true" t="shared" si="8" ref="Q13:R39">H13+K13-N13</f>
        <v>2.5200000000000102</v>
      </c>
      <c r="R13" s="482">
        <f t="shared" si="8"/>
        <v>2.5200000000000102</v>
      </c>
      <c r="S13" s="482">
        <f aca="true" t="shared" si="9" ref="S13:S39">SUM(Q13:R13)</f>
        <v>5.0400000000000205</v>
      </c>
      <c r="T13" s="509" t="s">
        <v>611</v>
      </c>
      <c r="U13" s="479">
        <f aca="true" t="shared" si="10" ref="U13:U39">D13</f>
        <v>1148</v>
      </c>
      <c r="V13" s="486">
        <f aca="true" t="shared" si="11" ref="V13:V39">U13</f>
        <v>1148</v>
      </c>
    </row>
    <row r="14" spans="1:22" ht="18" customHeight="1">
      <c r="A14" s="260">
        <v>2</v>
      </c>
      <c r="B14" s="647" t="s">
        <v>899</v>
      </c>
      <c r="C14" s="420">
        <v>1208</v>
      </c>
      <c r="D14" s="420">
        <v>1178</v>
      </c>
      <c r="E14" s="480">
        <v>72.48</v>
      </c>
      <c r="F14" s="481">
        <f t="shared" si="0"/>
        <v>72.48</v>
      </c>
      <c r="G14" s="510">
        <f t="shared" si="1"/>
        <v>144.96</v>
      </c>
      <c r="H14" s="488">
        <v>4.73</v>
      </c>
      <c r="I14" s="482">
        <f t="shared" si="2"/>
        <v>4.73</v>
      </c>
      <c r="J14" s="483">
        <f t="shared" si="3"/>
        <v>9.46</v>
      </c>
      <c r="K14" s="484">
        <f aca="true" t="shared" si="12" ref="K14:K39">E14-H14</f>
        <v>67.75</v>
      </c>
      <c r="L14" s="510">
        <f t="shared" si="4"/>
        <v>67.75</v>
      </c>
      <c r="M14" s="482">
        <f t="shared" si="5"/>
        <v>135.5</v>
      </c>
      <c r="N14" s="482">
        <v>69.84</v>
      </c>
      <c r="O14" s="483">
        <f t="shared" si="6"/>
        <v>69.84</v>
      </c>
      <c r="P14" s="484">
        <f t="shared" si="7"/>
        <v>139.68</v>
      </c>
      <c r="Q14" s="510">
        <f t="shared" si="8"/>
        <v>2.6400000000000006</v>
      </c>
      <c r="R14" s="482">
        <f t="shared" si="8"/>
        <v>2.6400000000000006</v>
      </c>
      <c r="S14" s="482">
        <f t="shared" si="9"/>
        <v>5.280000000000001</v>
      </c>
      <c r="T14" s="509" t="s">
        <v>611</v>
      </c>
      <c r="U14" s="479">
        <f t="shared" si="10"/>
        <v>1178</v>
      </c>
      <c r="V14" s="486">
        <f t="shared" si="11"/>
        <v>1178</v>
      </c>
    </row>
    <row r="15" spans="1:22" ht="18" customHeight="1">
      <c r="A15" s="260">
        <v>3</v>
      </c>
      <c r="B15" s="647" t="s">
        <v>839</v>
      </c>
      <c r="C15" s="420">
        <v>1104</v>
      </c>
      <c r="D15" s="420">
        <v>1077</v>
      </c>
      <c r="E15" s="480">
        <v>66.24</v>
      </c>
      <c r="F15" s="481">
        <f t="shared" si="0"/>
        <v>66.24</v>
      </c>
      <c r="G15" s="510">
        <f t="shared" si="1"/>
        <v>132.48</v>
      </c>
      <c r="H15" s="420">
        <v>4.33</v>
      </c>
      <c r="I15" s="482">
        <f t="shared" si="2"/>
        <v>4.33</v>
      </c>
      <c r="J15" s="483">
        <f t="shared" si="3"/>
        <v>8.66</v>
      </c>
      <c r="K15" s="484">
        <f t="shared" si="12"/>
        <v>61.91</v>
      </c>
      <c r="L15" s="510">
        <f t="shared" si="4"/>
        <v>61.91</v>
      </c>
      <c r="M15" s="482">
        <f t="shared" si="5"/>
        <v>123.82</v>
      </c>
      <c r="N15" s="482">
        <v>63.84</v>
      </c>
      <c r="O15" s="483">
        <f t="shared" si="6"/>
        <v>63.84</v>
      </c>
      <c r="P15" s="484">
        <f t="shared" si="7"/>
        <v>127.68</v>
      </c>
      <c r="Q15" s="510">
        <f t="shared" si="8"/>
        <v>2.3999999999999915</v>
      </c>
      <c r="R15" s="482">
        <f t="shared" si="8"/>
        <v>2.3999999999999915</v>
      </c>
      <c r="S15" s="482">
        <f t="shared" si="9"/>
        <v>4.799999999999983</v>
      </c>
      <c r="T15" s="509" t="s">
        <v>611</v>
      </c>
      <c r="U15" s="479">
        <f t="shared" si="10"/>
        <v>1077</v>
      </c>
      <c r="V15" s="486">
        <f t="shared" si="11"/>
        <v>1077</v>
      </c>
    </row>
    <row r="16" spans="1:22" ht="18" customHeight="1">
      <c r="A16" s="260">
        <v>4</v>
      </c>
      <c r="B16" s="647" t="s">
        <v>743</v>
      </c>
      <c r="C16" s="420">
        <v>2247</v>
      </c>
      <c r="D16" s="420">
        <v>2191</v>
      </c>
      <c r="E16" s="480">
        <v>161.78</v>
      </c>
      <c r="F16" s="481">
        <f t="shared" si="0"/>
        <v>161.78</v>
      </c>
      <c r="G16" s="510">
        <f t="shared" si="1"/>
        <v>323.56</v>
      </c>
      <c r="H16" s="488">
        <v>8.8</v>
      </c>
      <c r="I16" s="482">
        <f t="shared" si="2"/>
        <v>8.8</v>
      </c>
      <c r="J16" s="483">
        <f t="shared" si="3"/>
        <v>17.6</v>
      </c>
      <c r="K16" s="484">
        <f t="shared" si="12"/>
        <v>152.98</v>
      </c>
      <c r="L16" s="510">
        <f t="shared" si="4"/>
        <v>152.98</v>
      </c>
      <c r="M16" s="482">
        <f t="shared" si="5"/>
        <v>305.96</v>
      </c>
      <c r="N16" s="482">
        <v>155.88</v>
      </c>
      <c r="O16" s="483">
        <f t="shared" si="6"/>
        <v>155.88</v>
      </c>
      <c r="P16" s="484">
        <f t="shared" si="7"/>
        <v>311.76</v>
      </c>
      <c r="Q16" s="510">
        <f t="shared" si="8"/>
        <v>5.900000000000006</v>
      </c>
      <c r="R16" s="482">
        <f t="shared" si="8"/>
        <v>5.900000000000006</v>
      </c>
      <c r="S16" s="482">
        <f t="shared" si="9"/>
        <v>11.800000000000011</v>
      </c>
      <c r="T16" s="509" t="s">
        <v>611</v>
      </c>
      <c r="U16" s="479">
        <f t="shared" si="10"/>
        <v>2191</v>
      </c>
      <c r="V16" s="486">
        <f t="shared" si="11"/>
        <v>2191</v>
      </c>
    </row>
    <row r="17" spans="1:22" ht="18" customHeight="1">
      <c r="A17" s="260">
        <v>5</v>
      </c>
      <c r="B17" s="647" t="s">
        <v>748</v>
      </c>
      <c r="C17" s="420">
        <v>2004</v>
      </c>
      <c r="D17" s="420">
        <v>1954</v>
      </c>
      <c r="E17" s="480">
        <v>144.29</v>
      </c>
      <c r="F17" s="481">
        <f t="shared" si="0"/>
        <v>144.29</v>
      </c>
      <c r="G17" s="510">
        <f t="shared" si="1"/>
        <v>288.58</v>
      </c>
      <c r="H17" s="420">
        <v>7.86</v>
      </c>
      <c r="I17" s="482">
        <f t="shared" si="2"/>
        <v>7.86</v>
      </c>
      <c r="J17" s="483">
        <f t="shared" si="3"/>
        <v>15.72</v>
      </c>
      <c r="K17" s="484">
        <f t="shared" si="12"/>
        <v>136.42999999999998</v>
      </c>
      <c r="L17" s="510">
        <f t="shared" si="4"/>
        <v>136.42999999999998</v>
      </c>
      <c r="M17" s="482">
        <f t="shared" si="5"/>
        <v>272.85999999999996</v>
      </c>
      <c r="N17" s="482">
        <v>139.03</v>
      </c>
      <c r="O17" s="483">
        <f t="shared" si="6"/>
        <v>139.03</v>
      </c>
      <c r="P17" s="484">
        <f t="shared" si="7"/>
        <v>278.06</v>
      </c>
      <c r="Q17" s="510">
        <f t="shared" si="8"/>
        <v>5.259999999999991</v>
      </c>
      <c r="R17" s="482">
        <f t="shared" si="8"/>
        <v>5.259999999999991</v>
      </c>
      <c r="S17" s="482">
        <f t="shared" si="9"/>
        <v>10.519999999999982</v>
      </c>
      <c r="T17" s="509" t="s">
        <v>611</v>
      </c>
      <c r="U17" s="479">
        <f t="shared" si="10"/>
        <v>1954</v>
      </c>
      <c r="V17" s="486">
        <f t="shared" si="11"/>
        <v>1954</v>
      </c>
    </row>
    <row r="18" spans="1:22" ht="18" customHeight="1">
      <c r="A18" s="260">
        <v>6</v>
      </c>
      <c r="B18" s="647" t="s">
        <v>747</v>
      </c>
      <c r="C18" s="420">
        <v>2005</v>
      </c>
      <c r="D18" s="420">
        <v>1955</v>
      </c>
      <c r="E18" s="480">
        <v>144.36</v>
      </c>
      <c r="F18" s="481">
        <f t="shared" si="0"/>
        <v>144.36</v>
      </c>
      <c r="G18" s="510">
        <f t="shared" si="1"/>
        <v>288.72</v>
      </c>
      <c r="H18" s="420">
        <v>7.86</v>
      </c>
      <c r="I18" s="482">
        <f t="shared" si="2"/>
        <v>7.86</v>
      </c>
      <c r="J18" s="483">
        <f t="shared" si="3"/>
        <v>15.72</v>
      </c>
      <c r="K18" s="484">
        <f t="shared" si="12"/>
        <v>136.5</v>
      </c>
      <c r="L18" s="510">
        <f t="shared" si="4"/>
        <v>136.5</v>
      </c>
      <c r="M18" s="482">
        <f t="shared" si="5"/>
        <v>273</v>
      </c>
      <c r="N18" s="482">
        <v>139.1</v>
      </c>
      <c r="O18" s="483">
        <f t="shared" si="6"/>
        <v>139.1</v>
      </c>
      <c r="P18" s="484">
        <f t="shared" si="7"/>
        <v>278.2</v>
      </c>
      <c r="Q18" s="510">
        <f t="shared" si="8"/>
        <v>5.260000000000019</v>
      </c>
      <c r="R18" s="482">
        <f t="shared" si="8"/>
        <v>5.260000000000019</v>
      </c>
      <c r="S18" s="482">
        <f t="shared" si="9"/>
        <v>10.520000000000039</v>
      </c>
      <c r="T18" s="509" t="s">
        <v>611</v>
      </c>
      <c r="U18" s="479">
        <f t="shared" si="10"/>
        <v>1955</v>
      </c>
      <c r="V18" s="486">
        <f t="shared" si="11"/>
        <v>1955</v>
      </c>
    </row>
    <row r="19" spans="1:22" ht="18" customHeight="1">
      <c r="A19" s="260">
        <v>7</v>
      </c>
      <c r="B19" s="647" t="s">
        <v>737</v>
      </c>
      <c r="C19" s="420">
        <v>1011</v>
      </c>
      <c r="D19" s="420">
        <v>986</v>
      </c>
      <c r="E19" s="480">
        <v>72.79</v>
      </c>
      <c r="F19" s="481">
        <f t="shared" si="0"/>
        <v>72.79</v>
      </c>
      <c r="G19" s="510">
        <f t="shared" si="1"/>
        <v>145.58</v>
      </c>
      <c r="H19" s="488">
        <v>3.96</v>
      </c>
      <c r="I19" s="482">
        <f t="shared" si="2"/>
        <v>3.96</v>
      </c>
      <c r="J19" s="483">
        <f t="shared" si="3"/>
        <v>7.92</v>
      </c>
      <c r="K19" s="484">
        <f t="shared" si="12"/>
        <v>68.83000000000001</v>
      </c>
      <c r="L19" s="510">
        <f t="shared" si="4"/>
        <v>68.83000000000001</v>
      </c>
      <c r="M19" s="482">
        <f t="shared" si="5"/>
        <v>137.66000000000003</v>
      </c>
      <c r="N19" s="482">
        <v>70.13</v>
      </c>
      <c r="O19" s="483">
        <f t="shared" si="6"/>
        <v>70.13</v>
      </c>
      <c r="P19" s="484">
        <f t="shared" si="7"/>
        <v>140.26</v>
      </c>
      <c r="Q19" s="510">
        <f t="shared" si="8"/>
        <v>2.660000000000011</v>
      </c>
      <c r="R19" s="482">
        <f t="shared" si="8"/>
        <v>2.660000000000011</v>
      </c>
      <c r="S19" s="482">
        <f t="shared" si="9"/>
        <v>5.320000000000022</v>
      </c>
      <c r="T19" s="509" t="s">
        <v>611</v>
      </c>
      <c r="U19" s="479">
        <f t="shared" si="10"/>
        <v>986</v>
      </c>
      <c r="V19" s="486">
        <f t="shared" si="11"/>
        <v>986</v>
      </c>
    </row>
    <row r="20" spans="1:22" ht="18" customHeight="1">
      <c r="A20" s="260">
        <v>8</v>
      </c>
      <c r="B20" s="647" t="s">
        <v>749</v>
      </c>
      <c r="C20" s="420">
        <v>1488</v>
      </c>
      <c r="D20" s="420">
        <v>1451</v>
      </c>
      <c r="E20" s="480">
        <v>107.14</v>
      </c>
      <c r="F20" s="481">
        <f t="shared" si="0"/>
        <v>107.14</v>
      </c>
      <c r="G20" s="510">
        <f t="shared" si="1"/>
        <v>214.28</v>
      </c>
      <c r="H20" s="420">
        <v>5.83</v>
      </c>
      <c r="I20" s="482">
        <f t="shared" si="2"/>
        <v>5.83</v>
      </c>
      <c r="J20" s="483">
        <f t="shared" si="3"/>
        <v>11.66</v>
      </c>
      <c r="K20" s="484">
        <f t="shared" si="12"/>
        <v>101.31</v>
      </c>
      <c r="L20" s="510">
        <f t="shared" si="4"/>
        <v>101.31</v>
      </c>
      <c r="M20" s="482">
        <f t="shared" si="5"/>
        <v>202.62</v>
      </c>
      <c r="N20" s="482">
        <v>103.25</v>
      </c>
      <c r="O20" s="483">
        <f t="shared" si="6"/>
        <v>103.25</v>
      </c>
      <c r="P20" s="484">
        <f t="shared" si="7"/>
        <v>206.5</v>
      </c>
      <c r="Q20" s="510">
        <f t="shared" si="8"/>
        <v>3.8900000000000006</v>
      </c>
      <c r="R20" s="482">
        <f t="shared" si="8"/>
        <v>3.8900000000000006</v>
      </c>
      <c r="S20" s="482">
        <f t="shared" si="9"/>
        <v>7.780000000000001</v>
      </c>
      <c r="T20" s="509" t="s">
        <v>611</v>
      </c>
      <c r="U20" s="479">
        <f t="shared" si="10"/>
        <v>1451</v>
      </c>
      <c r="V20" s="486">
        <f t="shared" si="11"/>
        <v>1451</v>
      </c>
    </row>
    <row r="21" spans="1:22" ht="18" customHeight="1">
      <c r="A21" s="260">
        <v>9</v>
      </c>
      <c r="B21" s="647" t="s">
        <v>834</v>
      </c>
      <c r="C21" s="420">
        <v>1291</v>
      </c>
      <c r="D21" s="420">
        <v>1259</v>
      </c>
      <c r="E21" s="480">
        <v>77.46</v>
      </c>
      <c r="F21" s="481">
        <f t="shared" si="0"/>
        <v>77.46</v>
      </c>
      <c r="G21" s="510">
        <f t="shared" si="1"/>
        <v>154.92</v>
      </c>
      <c r="H21" s="488">
        <v>5.07</v>
      </c>
      <c r="I21" s="482">
        <f t="shared" si="2"/>
        <v>5.07</v>
      </c>
      <c r="J21" s="483">
        <f t="shared" si="3"/>
        <v>10.14</v>
      </c>
      <c r="K21" s="484">
        <f t="shared" si="12"/>
        <v>72.38999999999999</v>
      </c>
      <c r="L21" s="510">
        <f t="shared" si="4"/>
        <v>72.38999999999999</v>
      </c>
      <c r="M21" s="482">
        <f t="shared" si="5"/>
        <v>144.77999999999997</v>
      </c>
      <c r="N21" s="482">
        <v>74.64</v>
      </c>
      <c r="O21" s="483">
        <f t="shared" si="6"/>
        <v>74.64</v>
      </c>
      <c r="P21" s="484">
        <f t="shared" si="7"/>
        <v>149.28</v>
      </c>
      <c r="Q21" s="510">
        <f t="shared" si="8"/>
        <v>2.819999999999979</v>
      </c>
      <c r="R21" s="482">
        <f t="shared" si="8"/>
        <v>2.819999999999979</v>
      </c>
      <c r="S21" s="482">
        <f t="shared" si="9"/>
        <v>5.639999999999958</v>
      </c>
      <c r="T21" s="509" t="s">
        <v>611</v>
      </c>
      <c r="U21" s="479">
        <f t="shared" si="10"/>
        <v>1259</v>
      </c>
      <c r="V21" s="486">
        <f t="shared" si="11"/>
        <v>1259</v>
      </c>
    </row>
    <row r="22" spans="1:22" ht="18" customHeight="1">
      <c r="A22" s="260">
        <v>10</v>
      </c>
      <c r="B22" s="647" t="s">
        <v>739</v>
      </c>
      <c r="C22" s="420">
        <v>205</v>
      </c>
      <c r="D22" s="420">
        <v>200</v>
      </c>
      <c r="E22" s="480">
        <v>14.76</v>
      </c>
      <c r="F22" s="481">
        <f t="shared" si="0"/>
        <v>14.76</v>
      </c>
      <c r="G22" s="510">
        <f t="shared" si="1"/>
        <v>29.52</v>
      </c>
      <c r="H22" s="420">
        <v>0.8</v>
      </c>
      <c r="I22" s="482">
        <f t="shared" si="2"/>
        <v>0.8</v>
      </c>
      <c r="J22" s="483">
        <f t="shared" si="3"/>
        <v>1.6</v>
      </c>
      <c r="K22" s="484">
        <f t="shared" si="12"/>
        <v>13.959999999999999</v>
      </c>
      <c r="L22" s="510">
        <f t="shared" si="4"/>
        <v>13.959999999999999</v>
      </c>
      <c r="M22" s="482">
        <f t="shared" si="5"/>
        <v>27.919999999999998</v>
      </c>
      <c r="N22" s="482">
        <v>14.26</v>
      </c>
      <c r="O22" s="483">
        <f t="shared" si="6"/>
        <v>14.26</v>
      </c>
      <c r="P22" s="484">
        <f t="shared" si="7"/>
        <v>28.52</v>
      </c>
      <c r="Q22" s="510">
        <f t="shared" si="8"/>
        <v>0.5</v>
      </c>
      <c r="R22" s="482">
        <f t="shared" si="8"/>
        <v>0.5</v>
      </c>
      <c r="S22" s="482">
        <f t="shared" si="9"/>
        <v>1</v>
      </c>
      <c r="T22" s="509" t="s">
        <v>611</v>
      </c>
      <c r="U22" s="479">
        <f t="shared" si="10"/>
        <v>200</v>
      </c>
      <c r="V22" s="486">
        <f t="shared" si="11"/>
        <v>200</v>
      </c>
    </row>
    <row r="23" spans="1:22" ht="18" customHeight="1">
      <c r="A23" s="260">
        <v>11</v>
      </c>
      <c r="B23" s="647" t="s">
        <v>900</v>
      </c>
      <c r="C23" s="420">
        <v>239</v>
      </c>
      <c r="D23" s="420">
        <v>233</v>
      </c>
      <c r="E23" s="480">
        <v>14.34</v>
      </c>
      <c r="F23" s="481">
        <f t="shared" si="0"/>
        <v>14.34</v>
      </c>
      <c r="G23" s="510">
        <f t="shared" si="1"/>
        <v>28.68</v>
      </c>
      <c r="H23" s="420">
        <v>0.93</v>
      </c>
      <c r="I23" s="482">
        <f t="shared" si="2"/>
        <v>0.93</v>
      </c>
      <c r="J23" s="483">
        <f t="shared" si="3"/>
        <v>1.86</v>
      </c>
      <c r="K23" s="484">
        <f t="shared" si="12"/>
        <v>13.41</v>
      </c>
      <c r="L23" s="510">
        <f t="shared" si="4"/>
        <v>13.41</v>
      </c>
      <c r="M23" s="482">
        <f t="shared" si="5"/>
        <v>26.82</v>
      </c>
      <c r="N23" s="482">
        <v>13.8</v>
      </c>
      <c r="O23" s="483">
        <f t="shared" si="6"/>
        <v>13.8</v>
      </c>
      <c r="P23" s="484">
        <f t="shared" si="7"/>
        <v>27.6</v>
      </c>
      <c r="Q23" s="510">
        <f t="shared" si="8"/>
        <v>0.5399999999999991</v>
      </c>
      <c r="R23" s="482">
        <f t="shared" si="8"/>
        <v>0.5399999999999991</v>
      </c>
      <c r="S23" s="482">
        <f t="shared" si="9"/>
        <v>1.0799999999999983</v>
      </c>
      <c r="T23" s="509" t="s">
        <v>611</v>
      </c>
      <c r="U23" s="479">
        <f t="shared" si="10"/>
        <v>233</v>
      </c>
      <c r="V23" s="486">
        <f t="shared" si="11"/>
        <v>233</v>
      </c>
    </row>
    <row r="24" spans="1:22" ht="18" customHeight="1">
      <c r="A24" s="260">
        <v>12</v>
      </c>
      <c r="B24" s="647" t="s">
        <v>731</v>
      </c>
      <c r="C24" s="420">
        <v>1194</v>
      </c>
      <c r="D24" s="420">
        <v>1164</v>
      </c>
      <c r="E24" s="480">
        <v>85.97</v>
      </c>
      <c r="F24" s="481">
        <f t="shared" si="0"/>
        <v>85.97</v>
      </c>
      <c r="G24" s="510">
        <f t="shared" si="1"/>
        <v>171.94</v>
      </c>
      <c r="H24" s="420">
        <v>4.69</v>
      </c>
      <c r="I24" s="482">
        <f t="shared" si="2"/>
        <v>4.69</v>
      </c>
      <c r="J24" s="483">
        <f t="shared" si="3"/>
        <v>9.38</v>
      </c>
      <c r="K24" s="484">
        <f t="shared" si="12"/>
        <v>81.28</v>
      </c>
      <c r="L24" s="510">
        <f t="shared" si="4"/>
        <v>81.28</v>
      </c>
      <c r="M24" s="482">
        <f t="shared" si="5"/>
        <v>162.56</v>
      </c>
      <c r="N24" s="482">
        <v>82.8</v>
      </c>
      <c r="O24" s="483">
        <f t="shared" si="6"/>
        <v>82.8</v>
      </c>
      <c r="P24" s="484">
        <f t="shared" si="7"/>
        <v>165.6</v>
      </c>
      <c r="Q24" s="510">
        <f t="shared" si="8"/>
        <v>3.1700000000000017</v>
      </c>
      <c r="R24" s="482">
        <f t="shared" si="8"/>
        <v>3.1700000000000017</v>
      </c>
      <c r="S24" s="482">
        <f t="shared" si="9"/>
        <v>6.340000000000003</v>
      </c>
      <c r="T24" s="509" t="s">
        <v>611</v>
      </c>
      <c r="U24" s="479">
        <f t="shared" si="10"/>
        <v>1164</v>
      </c>
      <c r="V24" s="486">
        <f t="shared" si="11"/>
        <v>1164</v>
      </c>
    </row>
    <row r="25" spans="1:22" ht="18" customHeight="1">
      <c r="A25" s="260">
        <v>13</v>
      </c>
      <c r="B25" s="647" t="s">
        <v>742</v>
      </c>
      <c r="C25" s="479">
        <v>990</v>
      </c>
      <c r="D25" s="479">
        <v>965</v>
      </c>
      <c r="E25" s="480">
        <v>71.28</v>
      </c>
      <c r="F25" s="481">
        <f t="shared" si="0"/>
        <v>71.28</v>
      </c>
      <c r="G25" s="510">
        <f t="shared" si="1"/>
        <v>142.56</v>
      </c>
      <c r="H25" s="488">
        <v>3.89</v>
      </c>
      <c r="I25" s="482">
        <f t="shared" si="2"/>
        <v>3.89</v>
      </c>
      <c r="J25" s="483">
        <f t="shared" si="3"/>
        <v>7.78</v>
      </c>
      <c r="K25" s="484">
        <f t="shared" si="12"/>
        <v>67.39</v>
      </c>
      <c r="L25" s="510">
        <f t="shared" si="4"/>
        <v>67.39</v>
      </c>
      <c r="M25" s="482">
        <f t="shared" si="5"/>
        <v>134.78</v>
      </c>
      <c r="N25" s="482">
        <v>68.69</v>
      </c>
      <c r="O25" s="483">
        <f t="shared" si="6"/>
        <v>68.69</v>
      </c>
      <c r="P25" s="484">
        <f t="shared" si="7"/>
        <v>137.38</v>
      </c>
      <c r="Q25" s="510">
        <f t="shared" si="8"/>
        <v>2.5900000000000034</v>
      </c>
      <c r="R25" s="482">
        <f t="shared" si="8"/>
        <v>2.5900000000000034</v>
      </c>
      <c r="S25" s="482">
        <f t="shared" si="9"/>
        <v>5.180000000000007</v>
      </c>
      <c r="T25" s="509" t="s">
        <v>611</v>
      </c>
      <c r="U25" s="479">
        <f t="shared" si="10"/>
        <v>965</v>
      </c>
      <c r="V25" s="486">
        <f t="shared" si="11"/>
        <v>965</v>
      </c>
    </row>
    <row r="26" spans="1:22" ht="18" customHeight="1">
      <c r="A26" s="260">
        <v>14</v>
      </c>
      <c r="B26" s="647" t="s">
        <v>740</v>
      </c>
      <c r="C26" s="420">
        <v>1088</v>
      </c>
      <c r="D26" s="420">
        <v>1061</v>
      </c>
      <c r="E26" s="480">
        <v>78.34</v>
      </c>
      <c r="F26" s="481">
        <f t="shared" si="0"/>
        <v>78.34</v>
      </c>
      <c r="G26" s="510">
        <f t="shared" si="1"/>
        <v>156.68</v>
      </c>
      <c r="H26" s="488">
        <v>4.27</v>
      </c>
      <c r="I26" s="482">
        <f t="shared" si="2"/>
        <v>4.27</v>
      </c>
      <c r="J26" s="483">
        <f t="shared" si="3"/>
        <v>8.54</v>
      </c>
      <c r="K26" s="484">
        <f t="shared" si="12"/>
        <v>74.07000000000001</v>
      </c>
      <c r="L26" s="510">
        <f t="shared" si="4"/>
        <v>74.07000000000001</v>
      </c>
      <c r="M26" s="482">
        <f t="shared" si="5"/>
        <v>148.14000000000001</v>
      </c>
      <c r="N26" s="482">
        <v>75.53</v>
      </c>
      <c r="O26" s="483">
        <f t="shared" si="6"/>
        <v>75.53</v>
      </c>
      <c r="P26" s="484">
        <f t="shared" si="7"/>
        <v>151.06</v>
      </c>
      <c r="Q26" s="510">
        <f t="shared" si="8"/>
        <v>2.8100000000000023</v>
      </c>
      <c r="R26" s="482">
        <f t="shared" si="8"/>
        <v>2.8100000000000023</v>
      </c>
      <c r="S26" s="482">
        <f t="shared" si="9"/>
        <v>5.6200000000000045</v>
      </c>
      <c r="T26" s="509" t="s">
        <v>611</v>
      </c>
      <c r="U26" s="479">
        <f t="shared" si="10"/>
        <v>1061</v>
      </c>
      <c r="V26" s="486">
        <f t="shared" si="11"/>
        <v>1061</v>
      </c>
    </row>
    <row r="27" spans="1:22" ht="18" customHeight="1">
      <c r="A27" s="260">
        <v>15</v>
      </c>
      <c r="B27" s="647" t="s">
        <v>734</v>
      </c>
      <c r="C27" s="420">
        <v>931</v>
      </c>
      <c r="D27" s="420">
        <v>908</v>
      </c>
      <c r="E27" s="480">
        <v>67.03</v>
      </c>
      <c r="F27" s="481">
        <f t="shared" si="0"/>
        <v>67.03</v>
      </c>
      <c r="G27" s="510">
        <f t="shared" si="1"/>
        <v>134.06</v>
      </c>
      <c r="H27" s="488">
        <v>3.65</v>
      </c>
      <c r="I27" s="482">
        <f t="shared" si="2"/>
        <v>3.65</v>
      </c>
      <c r="J27" s="483">
        <f t="shared" si="3"/>
        <v>7.3</v>
      </c>
      <c r="K27" s="484">
        <f t="shared" si="12"/>
        <v>63.38</v>
      </c>
      <c r="L27" s="510">
        <f t="shared" si="4"/>
        <v>63.38</v>
      </c>
      <c r="M27" s="482">
        <f t="shared" si="5"/>
        <v>126.76</v>
      </c>
      <c r="N27" s="482">
        <v>64.58</v>
      </c>
      <c r="O27" s="483">
        <f t="shared" si="6"/>
        <v>64.58</v>
      </c>
      <c r="P27" s="484">
        <f t="shared" si="7"/>
        <v>129.16</v>
      </c>
      <c r="Q27" s="510">
        <f t="shared" si="8"/>
        <v>2.450000000000003</v>
      </c>
      <c r="R27" s="482">
        <f t="shared" si="8"/>
        <v>2.450000000000003</v>
      </c>
      <c r="S27" s="482">
        <f t="shared" si="9"/>
        <v>4.900000000000006</v>
      </c>
      <c r="T27" s="509" t="s">
        <v>611</v>
      </c>
      <c r="U27" s="479">
        <f t="shared" si="10"/>
        <v>908</v>
      </c>
      <c r="V27" s="486">
        <f t="shared" si="11"/>
        <v>908</v>
      </c>
    </row>
    <row r="28" spans="1:22" ht="18" customHeight="1">
      <c r="A28" s="260">
        <v>16</v>
      </c>
      <c r="B28" s="647" t="s">
        <v>741</v>
      </c>
      <c r="C28" s="420">
        <v>1735</v>
      </c>
      <c r="D28" s="420">
        <v>1692</v>
      </c>
      <c r="E28" s="480">
        <v>124.92</v>
      </c>
      <c r="F28" s="481">
        <f t="shared" si="0"/>
        <v>124.92</v>
      </c>
      <c r="G28" s="510">
        <f t="shared" si="1"/>
        <v>249.84</v>
      </c>
      <c r="H28" s="488">
        <v>6.8</v>
      </c>
      <c r="I28" s="482">
        <f t="shared" si="2"/>
        <v>6.8</v>
      </c>
      <c r="J28" s="483">
        <f t="shared" si="3"/>
        <v>13.6</v>
      </c>
      <c r="K28" s="484">
        <f t="shared" si="12"/>
        <v>118.12</v>
      </c>
      <c r="L28" s="510">
        <f t="shared" si="4"/>
        <v>118.12</v>
      </c>
      <c r="M28" s="482">
        <f t="shared" si="5"/>
        <v>236.24</v>
      </c>
      <c r="N28" s="482">
        <v>120.38</v>
      </c>
      <c r="O28" s="483">
        <f t="shared" si="6"/>
        <v>120.38</v>
      </c>
      <c r="P28" s="484">
        <f t="shared" si="7"/>
        <v>240.76</v>
      </c>
      <c r="Q28" s="510">
        <f t="shared" si="8"/>
        <v>4.540000000000006</v>
      </c>
      <c r="R28" s="482">
        <f t="shared" si="8"/>
        <v>4.540000000000006</v>
      </c>
      <c r="S28" s="482">
        <f t="shared" si="9"/>
        <v>9.080000000000013</v>
      </c>
      <c r="T28" s="509" t="s">
        <v>611</v>
      </c>
      <c r="U28" s="479">
        <f t="shared" si="10"/>
        <v>1692</v>
      </c>
      <c r="V28" s="486">
        <f t="shared" si="11"/>
        <v>1692</v>
      </c>
    </row>
    <row r="29" spans="1:22" ht="18" customHeight="1">
      <c r="A29" s="260">
        <v>17</v>
      </c>
      <c r="B29" s="647" t="s">
        <v>733</v>
      </c>
      <c r="C29" s="420">
        <v>830</v>
      </c>
      <c r="D29" s="420">
        <v>809</v>
      </c>
      <c r="E29" s="480">
        <v>59.76</v>
      </c>
      <c r="F29" s="481">
        <f t="shared" si="0"/>
        <v>59.76</v>
      </c>
      <c r="G29" s="510">
        <f t="shared" si="1"/>
        <v>119.52</v>
      </c>
      <c r="H29" s="420">
        <v>3.26</v>
      </c>
      <c r="I29" s="482">
        <f t="shared" si="2"/>
        <v>3.26</v>
      </c>
      <c r="J29" s="483">
        <f t="shared" si="3"/>
        <v>6.52</v>
      </c>
      <c r="K29" s="484">
        <f t="shared" si="12"/>
        <v>56.5</v>
      </c>
      <c r="L29" s="510">
        <f t="shared" si="4"/>
        <v>56.5</v>
      </c>
      <c r="M29" s="482">
        <f t="shared" si="5"/>
        <v>113</v>
      </c>
      <c r="N29" s="482">
        <v>57.6</v>
      </c>
      <c r="O29" s="483">
        <f t="shared" si="6"/>
        <v>57.6</v>
      </c>
      <c r="P29" s="484">
        <f t="shared" si="7"/>
        <v>115.2</v>
      </c>
      <c r="Q29" s="510">
        <f t="shared" si="8"/>
        <v>2.1599999999999966</v>
      </c>
      <c r="R29" s="482">
        <f t="shared" si="8"/>
        <v>2.1599999999999966</v>
      </c>
      <c r="S29" s="482">
        <f t="shared" si="9"/>
        <v>4.319999999999993</v>
      </c>
      <c r="T29" s="509" t="s">
        <v>611</v>
      </c>
      <c r="U29" s="479">
        <f t="shared" si="10"/>
        <v>809</v>
      </c>
      <c r="V29" s="486">
        <f t="shared" si="11"/>
        <v>809</v>
      </c>
    </row>
    <row r="30" spans="1:22" ht="18" customHeight="1">
      <c r="A30" s="260">
        <v>18</v>
      </c>
      <c r="B30" s="647" t="s">
        <v>735</v>
      </c>
      <c r="C30" s="420">
        <v>1888</v>
      </c>
      <c r="D30" s="420">
        <v>1741</v>
      </c>
      <c r="E30" s="480">
        <v>135.94</v>
      </c>
      <c r="F30" s="481">
        <f t="shared" si="0"/>
        <v>135.94</v>
      </c>
      <c r="G30" s="510">
        <f t="shared" si="1"/>
        <v>271.88</v>
      </c>
      <c r="H30" s="420">
        <v>7.4</v>
      </c>
      <c r="I30" s="482">
        <f t="shared" si="2"/>
        <v>7.4</v>
      </c>
      <c r="J30" s="483">
        <f t="shared" si="3"/>
        <v>14.8</v>
      </c>
      <c r="K30" s="484">
        <f t="shared" si="12"/>
        <v>128.54</v>
      </c>
      <c r="L30" s="510">
        <f t="shared" si="4"/>
        <v>128.54</v>
      </c>
      <c r="M30" s="482">
        <f t="shared" si="5"/>
        <v>257.08</v>
      </c>
      <c r="N30" s="482">
        <v>123.91</v>
      </c>
      <c r="O30" s="483">
        <f t="shared" si="6"/>
        <v>123.91</v>
      </c>
      <c r="P30" s="484">
        <f t="shared" si="7"/>
        <v>247.82</v>
      </c>
      <c r="Q30" s="510">
        <f t="shared" si="8"/>
        <v>12.030000000000001</v>
      </c>
      <c r="R30" s="482">
        <f t="shared" si="8"/>
        <v>12.030000000000001</v>
      </c>
      <c r="S30" s="482">
        <f t="shared" si="9"/>
        <v>24.060000000000002</v>
      </c>
      <c r="T30" s="509" t="s">
        <v>611</v>
      </c>
      <c r="U30" s="479">
        <f t="shared" si="10"/>
        <v>1741</v>
      </c>
      <c r="V30" s="486">
        <f t="shared" si="11"/>
        <v>1741</v>
      </c>
    </row>
    <row r="31" spans="1:22" ht="18" customHeight="1">
      <c r="A31" s="260">
        <v>19</v>
      </c>
      <c r="B31" s="647" t="s">
        <v>732</v>
      </c>
      <c r="C31" s="420">
        <v>1352</v>
      </c>
      <c r="D31" s="420">
        <v>1319</v>
      </c>
      <c r="E31" s="480">
        <v>97.34</v>
      </c>
      <c r="F31" s="481">
        <f t="shared" si="0"/>
        <v>97.34</v>
      </c>
      <c r="G31" s="510">
        <f t="shared" si="1"/>
        <v>194.68</v>
      </c>
      <c r="H31" s="420">
        <v>5.3</v>
      </c>
      <c r="I31" s="482">
        <f t="shared" si="2"/>
        <v>5.3</v>
      </c>
      <c r="J31" s="483">
        <f t="shared" si="3"/>
        <v>10.6</v>
      </c>
      <c r="K31" s="484">
        <f t="shared" si="12"/>
        <v>92.04</v>
      </c>
      <c r="L31" s="510">
        <f t="shared" si="4"/>
        <v>92.04</v>
      </c>
      <c r="M31" s="482">
        <f t="shared" si="5"/>
        <v>184.08</v>
      </c>
      <c r="N31" s="482">
        <v>93.89</v>
      </c>
      <c r="O31" s="483">
        <f t="shared" si="6"/>
        <v>93.89</v>
      </c>
      <c r="P31" s="484">
        <f t="shared" si="7"/>
        <v>187.78</v>
      </c>
      <c r="Q31" s="510">
        <f t="shared" si="8"/>
        <v>3.450000000000003</v>
      </c>
      <c r="R31" s="482">
        <f t="shared" si="8"/>
        <v>3.450000000000003</v>
      </c>
      <c r="S31" s="482">
        <f t="shared" si="9"/>
        <v>6.900000000000006</v>
      </c>
      <c r="T31" s="509" t="s">
        <v>611</v>
      </c>
      <c r="U31" s="479">
        <f t="shared" si="10"/>
        <v>1319</v>
      </c>
      <c r="V31" s="486">
        <f t="shared" si="11"/>
        <v>1319</v>
      </c>
    </row>
    <row r="32" spans="1:22" ht="18" customHeight="1">
      <c r="A32" s="260">
        <v>20</v>
      </c>
      <c r="B32" s="647" t="s">
        <v>836</v>
      </c>
      <c r="C32" s="420">
        <v>1108</v>
      </c>
      <c r="D32" s="420">
        <v>1052</v>
      </c>
      <c r="E32" s="480">
        <v>66.48</v>
      </c>
      <c r="F32" s="481">
        <f t="shared" si="0"/>
        <v>66.48</v>
      </c>
      <c r="G32" s="510">
        <f t="shared" si="1"/>
        <v>132.96</v>
      </c>
      <c r="H32" s="420">
        <v>4.34</v>
      </c>
      <c r="I32" s="482">
        <f t="shared" si="2"/>
        <v>4.34</v>
      </c>
      <c r="J32" s="483">
        <f t="shared" si="3"/>
        <v>8.68</v>
      </c>
      <c r="K32" s="484">
        <f t="shared" si="12"/>
        <v>62.14</v>
      </c>
      <c r="L32" s="510">
        <f t="shared" si="4"/>
        <v>62.14</v>
      </c>
      <c r="M32" s="482">
        <f t="shared" si="5"/>
        <v>124.28</v>
      </c>
      <c r="N32" s="482">
        <v>62.4</v>
      </c>
      <c r="O32" s="483">
        <f t="shared" si="6"/>
        <v>62.4</v>
      </c>
      <c r="P32" s="484">
        <f t="shared" si="7"/>
        <v>124.8</v>
      </c>
      <c r="Q32" s="510">
        <f t="shared" si="8"/>
        <v>4.080000000000005</v>
      </c>
      <c r="R32" s="482">
        <f t="shared" si="8"/>
        <v>4.080000000000005</v>
      </c>
      <c r="S32" s="482">
        <f t="shared" si="9"/>
        <v>8.16000000000001</v>
      </c>
      <c r="T32" s="509" t="s">
        <v>611</v>
      </c>
      <c r="U32" s="479">
        <f t="shared" si="10"/>
        <v>1052</v>
      </c>
      <c r="V32" s="486">
        <f t="shared" si="11"/>
        <v>1052</v>
      </c>
    </row>
    <row r="33" spans="1:22" ht="18" customHeight="1">
      <c r="A33" s="260">
        <v>21</v>
      </c>
      <c r="B33" s="647" t="s">
        <v>729</v>
      </c>
      <c r="C33" s="420">
        <v>1244</v>
      </c>
      <c r="D33" s="420">
        <v>1213</v>
      </c>
      <c r="E33" s="480">
        <v>89.57</v>
      </c>
      <c r="F33" s="481">
        <f t="shared" si="0"/>
        <v>89.57</v>
      </c>
      <c r="G33" s="510">
        <f t="shared" si="1"/>
        <v>179.14</v>
      </c>
      <c r="H33" s="420">
        <v>4.88</v>
      </c>
      <c r="I33" s="482">
        <f t="shared" si="2"/>
        <v>4.88</v>
      </c>
      <c r="J33" s="483">
        <f t="shared" si="3"/>
        <v>9.76</v>
      </c>
      <c r="K33" s="484">
        <f t="shared" si="12"/>
        <v>84.69</v>
      </c>
      <c r="L33" s="510">
        <f t="shared" si="4"/>
        <v>84.69</v>
      </c>
      <c r="M33" s="482">
        <f t="shared" si="5"/>
        <v>169.38</v>
      </c>
      <c r="N33" s="482">
        <v>86.33</v>
      </c>
      <c r="O33" s="483">
        <f t="shared" si="6"/>
        <v>86.33</v>
      </c>
      <c r="P33" s="484">
        <f t="shared" si="7"/>
        <v>172.66</v>
      </c>
      <c r="Q33" s="510">
        <f t="shared" si="8"/>
        <v>3.239999999999995</v>
      </c>
      <c r="R33" s="482">
        <f t="shared" si="8"/>
        <v>3.239999999999995</v>
      </c>
      <c r="S33" s="482">
        <f t="shared" si="9"/>
        <v>6.47999999999999</v>
      </c>
      <c r="T33" s="509" t="s">
        <v>611</v>
      </c>
      <c r="U33" s="479">
        <f t="shared" si="10"/>
        <v>1213</v>
      </c>
      <c r="V33" s="486">
        <f t="shared" si="11"/>
        <v>1213</v>
      </c>
    </row>
    <row r="34" spans="1:22" ht="18" customHeight="1">
      <c r="A34" s="260">
        <v>22</v>
      </c>
      <c r="B34" s="647" t="s">
        <v>746</v>
      </c>
      <c r="C34" s="420">
        <v>1285</v>
      </c>
      <c r="D34" s="420">
        <v>1253</v>
      </c>
      <c r="E34" s="480">
        <v>92.52</v>
      </c>
      <c r="F34" s="481">
        <f t="shared" si="0"/>
        <v>92.52</v>
      </c>
      <c r="G34" s="510">
        <f t="shared" si="1"/>
        <v>185.04</v>
      </c>
      <c r="H34" s="420">
        <v>5.04</v>
      </c>
      <c r="I34" s="482">
        <f t="shared" si="2"/>
        <v>5.04</v>
      </c>
      <c r="J34" s="483">
        <f t="shared" si="3"/>
        <v>10.08</v>
      </c>
      <c r="K34" s="484">
        <f t="shared" si="12"/>
        <v>87.47999999999999</v>
      </c>
      <c r="L34" s="510">
        <f t="shared" si="4"/>
        <v>87.47999999999999</v>
      </c>
      <c r="M34" s="482">
        <f t="shared" si="5"/>
        <v>174.95999999999998</v>
      </c>
      <c r="N34" s="482">
        <v>89.14</v>
      </c>
      <c r="O34" s="483">
        <f t="shared" si="6"/>
        <v>89.14</v>
      </c>
      <c r="P34" s="484">
        <f t="shared" si="7"/>
        <v>178.28</v>
      </c>
      <c r="Q34" s="510">
        <f t="shared" si="8"/>
        <v>3.3799999999999955</v>
      </c>
      <c r="R34" s="482">
        <f t="shared" si="8"/>
        <v>3.3799999999999955</v>
      </c>
      <c r="S34" s="482">
        <f t="shared" si="9"/>
        <v>6.759999999999991</v>
      </c>
      <c r="T34" s="509" t="s">
        <v>611</v>
      </c>
      <c r="U34" s="479">
        <f t="shared" si="10"/>
        <v>1253</v>
      </c>
      <c r="V34" s="486">
        <f t="shared" si="11"/>
        <v>1253</v>
      </c>
    </row>
    <row r="35" spans="1:22" ht="18" customHeight="1">
      <c r="A35" s="260">
        <v>23</v>
      </c>
      <c r="B35" s="647" t="s">
        <v>738</v>
      </c>
      <c r="C35" s="420">
        <v>1045</v>
      </c>
      <c r="D35" s="420">
        <v>919</v>
      </c>
      <c r="E35" s="480">
        <v>75.24</v>
      </c>
      <c r="F35" s="481">
        <f t="shared" si="0"/>
        <v>75.24</v>
      </c>
      <c r="G35" s="510">
        <f t="shared" si="1"/>
        <v>150.48</v>
      </c>
      <c r="H35" s="488">
        <v>4.09</v>
      </c>
      <c r="I35" s="482">
        <f t="shared" si="2"/>
        <v>4.09</v>
      </c>
      <c r="J35" s="483">
        <f t="shared" si="3"/>
        <v>8.18</v>
      </c>
      <c r="K35" s="484">
        <f t="shared" si="12"/>
        <v>71.14999999999999</v>
      </c>
      <c r="L35" s="510">
        <f t="shared" si="4"/>
        <v>71.14999999999999</v>
      </c>
      <c r="M35" s="482">
        <f t="shared" si="5"/>
        <v>142.29999999999998</v>
      </c>
      <c r="N35" s="482">
        <v>65.38</v>
      </c>
      <c r="O35" s="483">
        <f t="shared" si="6"/>
        <v>65.38</v>
      </c>
      <c r="P35" s="484">
        <f t="shared" si="7"/>
        <v>130.76</v>
      </c>
      <c r="Q35" s="510">
        <f t="shared" si="8"/>
        <v>9.86</v>
      </c>
      <c r="R35" s="482">
        <f t="shared" si="8"/>
        <v>9.86</v>
      </c>
      <c r="S35" s="482">
        <f t="shared" si="9"/>
        <v>19.72</v>
      </c>
      <c r="T35" s="509" t="s">
        <v>611</v>
      </c>
      <c r="U35" s="479">
        <f t="shared" si="10"/>
        <v>919</v>
      </c>
      <c r="V35" s="486">
        <f t="shared" si="11"/>
        <v>919</v>
      </c>
    </row>
    <row r="36" spans="1:22" ht="18" customHeight="1">
      <c r="A36" s="260">
        <v>24</v>
      </c>
      <c r="B36" s="647" t="s">
        <v>730</v>
      </c>
      <c r="C36" s="420">
        <v>1248</v>
      </c>
      <c r="D36" s="420">
        <v>1217</v>
      </c>
      <c r="E36" s="480">
        <v>89.86</v>
      </c>
      <c r="F36" s="481">
        <f t="shared" si="0"/>
        <v>89.86</v>
      </c>
      <c r="G36" s="510">
        <f t="shared" si="1"/>
        <v>179.72</v>
      </c>
      <c r="H36" s="420">
        <v>4.89</v>
      </c>
      <c r="I36" s="482">
        <f t="shared" si="2"/>
        <v>4.89</v>
      </c>
      <c r="J36" s="483">
        <f t="shared" si="3"/>
        <v>9.78</v>
      </c>
      <c r="K36" s="484">
        <f t="shared" si="12"/>
        <v>84.97</v>
      </c>
      <c r="L36" s="510">
        <f t="shared" si="4"/>
        <v>84.97</v>
      </c>
      <c r="M36" s="482">
        <f t="shared" si="5"/>
        <v>169.94</v>
      </c>
      <c r="N36" s="482">
        <v>86.62</v>
      </c>
      <c r="O36" s="483">
        <f t="shared" si="6"/>
        <v>86.62</v>
      </c>
      <c r="P36" s="484">
        <f t="shared" si="7"/>
        <v>173.24</v>
      </c>
      <c r="Q36" s="510">
        <f t="shared" si="8"/>
        <v>3.239999999999995</v>
      </c>
      <c r="R36" s="482">
        <f t="shared" si="8"/>
        <v>3.239999999999995</v>
      </c>
      <c r="S36" s="482">
        <f t="shared" si="9"/>
        <v>6.47999999999999</v>
      </c>
      <c r="T36" s="509" t="s">
        <v>611</v>
      </c>
      <c r="U36" s="479">
        <f t="shared" si="10"/>
        <v>1217</v>
      </c>
      <c r="V36" s="486">
        <f t="shared" si="11"/>
        <v>1217</v>
      </c>
    </row>
    <row r="37" spans="1:22" ht="18" customHeight="1">
      <c r="A37" s="260">
        <v>25</v>
      </c>
      <c r="B37" s="647" t="s">
        <v>736</v>
      </c>
      <c r="C37" s="420">
        <v>344</v>
      </c>
      <c r="D37" s="420">
        <v>335</v>
      </c>
      <c r="E37" s="480">
        <v>24.77</v>
      </c>
      <c r="F37" s="481">
        <f t="shared" si="0"/>
        <v>24.77</v>
      </c>
      <c r="G37" s="510">
        <f t="shared" si="1"/>
        <v>49.54</v>
      </c>
      <c r="H37" s="488">
        <v>1.35</v>
      </c>
      <c r="I37" s="482">
        <f t="shared" si="2"/>
        <v>1.35</v>
      </c>
      <c r="J37" s="483">
        <f t="shared" si="3"/>
        <v>2.7</v>
      </c>
      <c r="K37" s="484">
        <f t="shared" si="12"/>
        <v>23.419999999999998</v>
      </c>
      <c r="L37" s="510">
        <f t="shared" si="4"/>
        <v>23.419999999999998</v>
      </c>
      <c r="M37" s="482">
        <f t="shared" si="5"/>
        <v>46.839999999999996</v>
      </c>
      <c r="N37" s="482">
        <v>23.83</v>
      </c>
      <c r="O37" s="483">
        <f t="shared" si="6"/>
        <v>23.83</v>
      </c>
      <c r="P37" s="484">
        <f t="shared" si="7"/>
        <v>47.66</v>
      </c>
      <c r="Q37" s="510">
        <f t="shared" si="8"/>
        <v>0.9400000000000013</v>
      </c>
      <c r="R37" s="482">
        <f t="shared" si="8"/>
        <v>0.9400000000000013</v>
      </c>
      <c r="S37" s="482">
        <f t="shared" si="9"/>
        <v>1.8800000000000026</v>
      </c>
      <c r="T37" s="509" t="s">
        <v>611</v>
      </c>
      <c r="U37" s="479">
        <f t="shared" si="10"/>
        <v>335</v>
      </c>
      <c r="V37" s="486">
        <f t="shared" si="11"/>
        <v>335</v>
      </c>
    </row>
    <row r="38" spans="1:22" ht="18" customHeight="1">
      <c r="A38" s="260">
        <v>26</v>
      </c>
      <c r="B38" s="647" t="s">
        <v>744</v>
      </c>
      <c r="C38" s="420">
        <v>322</v>
      </c>
      <c r="D38" s="420">
        <v>314</v>
      </c>
      <c r="E38" s="480">
        <v>23.18</v>
      </c>
      <c r="F38" s="481">
        <f t="shared" si="0"/>
        <v>23.18</v>
      </c>
      <c r="G38" s="510">
        <f t="shared" si="1"/>
        <v>46.36</v>
      </c>
      <c r="H38" s="488">
        <v>1.27</v>
      </c>
      <c r="I38" s="482">
        <f t="shared" si="2"/>
        <v>1.27</v>
      </c>
      <c r="J38" s="483">
        <f t="shared" si="3"/>
        <v>2.54</v>
      </c>
      <c r="K38" s="484">
        <f t="shared" si="12"/>
        <v>21.91</v>
      </c>
      <c r="L38" s="510">
        <f t="shared" si="4"/>
        <v>21.91</v>
      </c>
      <c r="M38" s="482">
        <f t="shared" si="5"/>
        <v>43.82</v>
      </c>
      <c r="N38" s="482">
        <v>22.32</v>
      </c>
      <c r="O38" s="483">
        <f t="shared" si="6"/>
        <v>22.32</v>
      </c>
      <c r="P38" s="484">
        <f t="shared" si="7"/>
        <v>44.64</v>
      </c>
      <c r="Q38" s="510">
        <f t="shared" si="8"/>
        <v>0.8599999999999994</v>
      </c>
      <c r="R38" s="482">
        <f t="shared" si="8"/>
        <v>0.8599999999999994</v>
      </c>
      <c r="S38" s="482">
        <f t="shared" si="9"/>
        <v>1.7199999999999989</v>
      </c>
      <c r="T38" s="509" t="s">
        <v>611</v>
      </c>
      <c r="U38" s="479">
        <f t="shared" si="10"/>
        <v>314</v>
      </c>
      <c r="V38" s="486">
        <f t="shared" si="11"/>
        <v>314</v>
      </c>
    </row>
    <row r="39" spans="1:22" ht="18" customHeight="1">
      <c r="A39" s="262">
        <v>27</v>
      </c>
      <c r="B39" s="647" t="s">
        <v>745</v>
      </c>
      <c r="C39" s="420">
        <v>781</v>
      </c>
      <c r="D39" s="420">
        <v>762</v>
      </c>
      <c r="E39" s="480">
        <v>56.23</v>
      </c>
      <c r="F39" s="481">
        <f t="shared" si="0"/>
        <v>56.23</v>
      </c>
      <c r="G39" s="510">
        <f t="shared" si="1"/>
        <v>112.46</v>
      </c>
      <c r="H39" s="420">
        <v>3.06</v>
      </c>
      <c r="I39" s="482">
        <f t="shared" si="2"/>
        <v>3.06</v>
      </c>
      <c r="J39" s="483">
        <f t="shared" si="3"/>
        <v>6.12</v>
      </c>
      <c r="K39" s="484">
        <f t="shared" si="12"/>
        <v>53.169999999999995</v>
      </c>
      <c r="L39" s="510">
        <f t="shared" si="4"/>
        <v>53.169999999999995</v>
      </c>
      <c r="M39" s="482">
        <f t="shared" si="5"/>
        <v>106.33999999999999</v>
      </c>
      <c r="N39" s="482">
        <v>54.22</v>
      </c>
      <c r="O39" s="483">
        <f t="shared" si="6"/>
        <v>54.22</v>
      </c>
      <c r="P39" s="484">
        <f t="shared" si="7"/>
        <v>108.44</v>
      </c>
      <c r="Q39" s="510">
        <f t="shared" si="8"/>
        <v>2.009999999999998</v>
      </c>
      <c r="R39" s="482">
        <f t="shared" si="8"/>
        <v>2.009999999999998</v>
      </c>
      <c r="S39" s="482">
        <f t="shared" si="9"/>
        <v>4.019999999999996</v>
      </c>
      <c r="T39" s="509" t="s">
        <v>611</v>
      </c>
      <c r="U39" s="479">
        <f t="shared" si="10"/>
        <v>762</v>
      </c>
      <c r="V39" s="486">
        <f t="shared" si="11"/>
        <v>762</v>
      </c>
    </row>
    <row r="40" spans="1:23" s="508" customFormat="1" ht="15">
      <c r="A40" s="505" t="s">
        <v>19</v>
      </c>
      <c r="B40" s="425"/>
      <c r="C40" s="425">
        <v>31364</v>
      </c>
      <c r="D40" s="425">
        <v>30356</v>
      </c>
      <c r="E40" s="425">
        <f>SUM(E13:E39)</f>
        <v>2184.6899999999996</v>
      </c>
      <c r="F40" s="481">
        <f>E40</f>
        <v>2184.6899999999996</v>
      </c>
      <c r="G40" s="506">
        <f>SUM(E40:F40)</f>
        <v>4369.379999999999</v>
      </c>
      <c r="H40" s="482">
        <f>SUM(H13:H39)</f>
        <v>122.96000000000001</v>
      </c>
      <c r="I40" s="482">
        <f aca="true" t="shared" si="13" ref="I40:S40">SUM(I13:I39)</f>
        <v>122.96000000000001</v>
      </c>
      <c r="J40" s="482">
        <f t="shared" si="13"/>
        <v>245.92000000000002</v>
      </c>
      <c r="K40" s="482">
        <f t="shared" si="13"/>
        <v>2061.7300000000005</v>
      </c>
      <c r="L40" s="482">
        <f t="shared" si="13"/>
        <v>2061.7300000000005</v>
      </c>
      <c r="M40" s="482">
        <f t="shared" si="13"/>
        <v>4123.460000000001</v>
      </c>
      <c r="N40" s="482">
        <f t="shared" si="13"/>
        <v>2089.49</v>
      </c>
      <c r="O40" s="482">
        <f t="shared" si="13"/>
        <v>2089.49</v>
      </c>
      <c r="P40" s="482">
        <f t="shared" si="13"/>
        <v>4178.98</v>
      </c>
      <c r="Q40" s="482">
        <f t="shared" si="13"/>
        <v>95.19999999999999</v>
      </c>
      <c r="R40" s="482">
        <f t="shared" si="13"/>
        <v>95.19999999999999</v>
      </c>
      <c r="S40" s="482">
        <f t="shared" si="13"/>
        <v>190.39999999999998</v>
      </c>
      <c r="T40" s="509" t="s">
        <v>611</v>
      </c>
      <c r="U40" s="479">
        <f>D40</f>
        <v>30356</v>
      </c>
      <c r="V40" s="507">
        <f>U40</f>
        <v>30356</v>
      </c>
      <c r="W40" s="425"/>
    </row>
    <row r="41" ht="12.75">
      <c r="T41" s="314"/>
    </row>
    <row r="43" ht="21" customHeight="1">
      <c r="A43" s="15" t="s">
        <v>954</v>
      </c>
    </row>
    <row r="45" spans="1:22" ht="12.75" customHeight="1">
      <c r="A45" s="14" t="s">
        <v>12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  <c r="O45" s="15"/>
      <c r="P45" s="83"/>
      <c r="Q45" s="14"/>
      <c r="R45" s="14"/>
      <c r="S45" s="881" t="s">
        <v>13</v>
      </c>
      <c r="T45" s="881"/>
      <c r="U45" s="83"/>
      <c r="V45" s="14"/>
    </row>
    <row r="46" spans="1:22" ht="12.7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81" t="s">
        <v>14</v>
      </c>
      <c r="S46" s="881"/>
      <c r="T46" s="881"/>
      <c r="U46" s="881"/>
      <c r="V46" s="83"/>
    </row>
    <row r="47" spans="1:22" ht="12.75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81" t="s">
        <v>637</v>
      </c>
      <c r="R47" s="881"/>
      <c r="S47" s="881"/>
      <c r="T47" s="881"/>
      <c r="U47" s="881"/>
      <c r="V47" s="881"/>
    </row>
    <row r="48" spans="15:22" ht="12.75">
      <c r="O48" s="35"/>
      <c r="P48" s="35"/>
      <c r="Q48" s="14"/>
      <c r="R48" s="14"/>
      <c r="S48" s="1" t="s">
        <v>84</v>
      </c>
      <c r="T48" s="1"/>
      <c r="U48" s="1"/>
      <c r="V48" s="1"/>
    </row>
  </sheetData>
  <sheetProtection/>
  <mergeCells count="21">
    <mergeCell ref="R46:U46"/>
    <mergeCell ref="P8:S8"/>
    <mergeCell ref="U10:U11"/>
    <mergeCell ref="T10:T11"/>
    <mergeCell ref="S45:T45"/>
    <mergeCell ref="E10:G10"/>
    <mergeCell ref="H10:J10"/>
    <mergeCell ref="K10:M10"/>
    <mergeCell ref="N10:P10"/>
    <mergeCell ref="Q10:S10"/>
    <mergeCell ref="V10:V11"/>
    <mergeCell ref="Q1:S1"/>
    <mergeCell ref="A3:Q3"/>
    <mergeCell ref="A4:P4"/>
    <mergeCell ref="A7:S7"/>
    <mergeCell ref="Q47:V47"/>
    <mergeCell ref="P9:S9"/>
    <mergeCell ref="A10:A11"/>
    <mergeCell ref="B10:B11"/>
    <mergeCell ref="C10:C11"/>
    <mergeCell ref="D10:D11"/>
  </mergeCells>
  <printOptions horizontalCentered="1"/>
  <pageMargins left="0.7086614173228347" right="0.7086614173228347" top="0.73" bottom="0" header="0.88" footer="0.31496062992125984"/>
  <pageSetup fitToHeight="1" fitToWidth="1" horizontalDpi="600" verticalDpi="600" orientation="landscape" paperSize="9" scale="5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U45"/>
  <sheetViews>
    <sheetView view="pageBreakPreview" zoomScale="75" zoomScaleSheetLayoutView="75" zoomScalePageLayoutView="0" workbookViewId="0" topLeftCell="A7">
      <selection activeCell="I12" sqref="I12:M40"/>
    </sheetView>
  </sheetViews>
  <sheetFormatPr defaultColWidth="9.140625" defaultRowHeight="12.75"/>
  <cols>
    <col min="1" max="1" width="9.140625" style="15" customWidth="1"/>
    <col min="2" max="3" width="19.28125" style="15" customWidth="1"/>
    <col min="4" max="4" width="17.8515625" style="15" customWidth="1"/>
    <col min="5" max="5" width="22.57421875" style="15" customWidth="1"/>
    <col min="6" max="6" width="22.00390625" style="15" customWidth="1"/>
    <col min="7" max="7" width="19.421875" style="15" customWidth="1"/>
    <col min="8" max="8" width="29.421875" style="15" customWidth="1"/>
    <col min="9" max="9" width="11.421875" style="15" customWidth="1"/>
    <col min="10" max="13" width="10.00390625" style="15" bestFit="1" customWidth="1"/>
    <col min="14" max="16384" width="9.140625" style="15" customWidth="1"/>
  </cols>
  <sheetData>
    <row r="1" spans="8:9" ht="15">
      <c r="H1" s="40" t="s">
        <v>66</v>
      </c>
      <c r="I1" s="42"/>
    </row>
    <row r="2" spans="4:9" ht="15">
      <c r="D2" s="44" t="s">
        <v>0</v>
      </c>
      <c r="E2" s="44"/>
      <c r="F2" s="44"/>
      <c r="G2" s="44"/>
      <c r="H2" s="44"/>
      <c r="I2" s="44"/>
    </row>
    <row r="3" spans="2:9" ht="20.25">
      <c r="B3" s="152"/>
      <c r="C3" s="902" t="s">
        <v>859</v>
      </c>
      <c r="D3" s="902"/>
      <c r="E3" s="902"/>
      <c r="F3" s="121"/>
      <c r="G3" s="121"/>
      <c r="H3" s="121"/>
      <c r="I3" s="43"/>
    </row>
    <row r="4" ht="10.5" customHeight="1"/>
    <row r="5" spans="1:8" ht="30.75" customHeight="1">
      <c r="A5" s="1006" t="s">
        <v>1046</v>
      </c>
      <c r="B5" s="1006"/>
      <c r="C5" s="1006"/>
      <c r="D5" s="1006"/>
      <c r="E5" s="1006"/>
      <c r="F5" s="1006"/>
      <c r="G5" s="1006"/>
      <c r="H5" s="1006"/>
    </row>
    <row r="7" ht="0.75" customHeight="1"/>
    <row r="8" spans="1:8" ht="12.75">
      <c r="A8" s="35" t="s">
        <v>634</v>
      </c>
      <c r="B8" s="35"/>
      <c r="H8" s="32" t="s">
        <v>23</v>
      </c>
    </row>
    <row r="9" spans="4:21" ht="12.75">
      <c r="D9" s="961" t="s">
        <v>955</v>
      </c>
      <c r="E9" s="961"/>
      <c r="F9" s="961"/>
      <c r="G9" s="961"/>
      <c r="H9" s="961"/>
      <c r="T9" s="19"/>
      <c r="U9" s="21"/>
    </row>
    <row r="10" spans="1:8" ht="57" customHeight="1">
      <c r="A10" s="5" t="s">
        <v>2</v>
      </c>
      <c r="B10" s="5" t="s">
        <v>3</v>
      </c>
      <c r="C10" s="2" t="s">
        <v>952</v>
      </c>
      <c r="D10" s="2" t="s">
        <v>956</v>
      </c>
      <c r="E10" s="2" t="s">
        <v>116</v>
      </c>
      <c r="F10" s="2" t="s">
        <v>777</v>
      </c>
      <c r="G10" s="2" t="s">
        <v>169</v>
      </c>
      <c r="H10" s="33" t="s">
        <v>957</v>
      </c>
    </row>
    <row r="11" spans="1:8" s="112" customFormat="1" ht="15.75" customHeight="1">
      <c r="A11" s="68">
        <v>1</v>
      </c>
      <c r="B11" s="67">
        <v>2</v>
      </c>
      <c r="C11" s="68">
        <v>3</v>
      </c>
      <c r="D11" s="67">
        <v>4</v>
      </c>
      <c r="E11" s="68">
        <v>5</v>
      </c>
      <c r="F11" s="67">
        <v>6</v>
      </c>
      <c r="G11" s="68">
        <v>7</v>
      </c>
      <c r="H11" s="68">
        <v>8</v>
      </c>
    </row>
    <row r="12" spans="1:13" s="112" customFormat="1" ht="15.75" customHeight="1">
      <c r="A12" s="262">
        <v>1</v>
      </c>
      <c r="B12" s="647" t="s">
        <v>898</v>
      </c>
      <c r="C12" s="272">
        <f>'AT6B_Pay_FG_FCI_Pry'!C13/3000*750</f>
        <v>18.4425</v>
      </c>
      <c r="D12" s="314">
        <v>2.35</v>
      </c>
      <c r="E12" s="272">
        <v>16.092499999999998</v>
      </c>
      <c r="F12" s="313">
        <v>750</v>
      </c>
      <c r="G12" s="272">
        <f>ROUND('AT6B_Pay_FG_FCI_Pry'!I13/3000*750,2)</f>
        <v>17.07</v>
      </c>
      <c r="H12" s="272">
        <f>D12+E12-G12</f>
        <v>1.3724999999999987</v>
      </c>
      <c r="J12" s="375"/>
      <c r="K12" s="375"/>
      <c r="L12" s="375"/>
      <c r="M12" s="375"/>
    </row>
    <row r="13" spans="1:13" s="112" customFormat="1" ht="15.75" customHeight="1">
      <c r="A13" s="260">
        <v>2</v>
      </c>
      <c r="B13" s="647" t="s">
        <v>899</v>
      </c>
      <c r="C13" s="272">
        <f>'AT6B_Pay_FG_FCI_Pry'!C14/3000*750</f>
        <v>20.8525</v>
      </c>
      <c r="D13" s="314">
        <v>2.73</v>
      </c>
      <c r="E13" s="272">
        <v>18.662499999999998</v>
      </c>
      <c r="F13" s="313">
        <v>750</v>
      </c>
      <c r="G13" s="272">
        <f>ROUND('AT6B_Pay_FG_FCI_Pry'!I14/3000*750,2)</f>
        <v>19.37</v>
      </c>
      <c r="H13" s="272">
        <f aca="true" t="shared" si="0" ref="H13:H38">D13+E13-G13</f>
        <v>2.0224999999999973</v>
      </c>
      <c r="J13" s="375"/>
      <c r="K13" s="375"/>
      <c r="L13" s="375"/>
      <c r="M13" s="375"/>
    </row>
    <row r="14" spans="1:13" s="112" customFormat="1" ht="15.75" customHeight="1">
      <c r="A14" s="260">
        <v>3</v>
      </c>
      <c r="B14" s="647" t="s">
        <v>839</v>
      </c>
      <c r="C14" s="272">
        <f>'AT6B_Pay_FG_FCI_Pry'!C15/3000*750</f>
        <v>17.5325</v>
      </c>
      <c r="D14" s="314">
        <v>2.23</v>
      </c>
      <c r="E14" s="272">
        <v>15.302499999999998</v>
      </c>
      <c r="F14" s="313">
        <v>750</v>
      </c>
      <c r="G14" s="272">
        <f>ROUND('AT6B_Pay_FG_FCI_Pry'!I15/3000*750,2)</f>
        <v>15.72</v>
      </c>
      <c r="H14" s="272">
        <f t="shared" si="0"/>
        <v>1.8124999999999982</v>
      </c>
      <c r="J14" s="375"/>
      <c r="K14" s="375"/>
      <c r="L14" s="375"/>
      <c r="M14" s="375"/>
    </row>
    <row r="15" spans="1:13" s="112" customFormat="1" ht="15.75" customHeight="1">
      <c r="A15" s="260">
        <v>4</v>
      </c>
      <c r="B15" s="647" t="s">
        <v>743</v>
      </c>
      <c r="C15" s="272">
        <f>'AT6B_Pay_FG_FCI_Pry'!C16/3000*750</f>
        <v>56.3125</v>
      </c>
      <c r="D15" s="314">
        <v>7.39</v>
      </c>
      <c r="E15" s="272">
        <v>50.57999999999999</v>
      </c>
      <c r="F15" s="313">
        <v>750</v>
      </c>
      <c r="G15" s="272">
        <f>ROUND('AT6B_Pay_FG_FCI_Pry'!I16/3000*750,2)</f>
        <v>43.36</v>
      </c>
      <c r="H15" s="272">
        <f t="shared" si="0"/>
        <v>14.609999999999992</v>
      </c>
      <c r="J15" s="375"/>
      <c r="K15" s="375"/>
      <c r="L15" s="375"/>
      <c r="M15" s="375"/>
    </row>
    <row r="16" spans="1:13" s="112" customFormat="1" ht="15.75" customHeight="1">
      <c r="A16" s="260">
        <v>5</v>
      </c>
      <c r="B16" s="647" t="s">
        <v>748</v>
      </c>
      <c r="C16" s="272">
        <f>'AT6B_Pay_FG_FCI_Pry'!C17/3000*750</f>
        <v>33.7075</v>
      </c>
      <c r="D16" s="314">
        <v>4.31</v>
      </c>
      <c r="E16" s="272">
        <v>29.507500000000004</v>
      </c>
      <c r="F16" s="313">
        <v>750</v>
      </c>
      <c r="G16" s="272">
        <f>ROUND('AT6B_Pay_FG_FCI_Pry'!I17/3000*750,2)</f>
        <v>27.23</v>
      </c>
      <c r="H16" s="272">
        <f t="shared" si="0"/>
        <v>6.587500000000002</v>
      </c>
      <c r="J16" s="375"/>
      <c r="K16" s="375"/>
      <c r="L16" s="375"/>
      <c r="M16" s="375"/>
    </row>
    <row r="17" spans="1:13" s="112" customFormat="1" ht="15.75" customHeight="1">
      <c r="A17" s="260">
        <v>6</v>
      </c>
      <c r="B17" s="647" t="s">
        <v>747</v>
      </c>
      <c r="C17" s="272">
        <f>'AT6B_Pay_FG_FCI_Pry'!C18/3000*750</f>
        <v>46.5475</v>
      </c>
      <c r="D17" s="314">
        <v>5.94</v>
      </c>
      <c r="E17" s="272">
        <v>40.697500000000005</v>
      </c>
      <c r="F17" s="313">
        <v>750</v>
      </c>
      <c r="G17" s="272">
        <f>ROUND('AT6B_Pay_FG_FCI_Pry'!I18/3000*750,2)</f>
        <v>37.86</v>
      </c>
      <c r="H17" s="272">
        <f t="shared" si="0"/>
        <v>8.777500000000003</v>
      </c>
      <c r="J17" s="375"/>
      <c r="K17" s="375"/>
      <c r="L17" s="375"/>
      <c r="M17" s="375"/>
    </row>
    <row r="18" spans="1:13" s="112" customFormat="1" ht="15.75" customHeight="1">
      <c r="A18" s="260">
        <v>7</v>
      </c>
      <c r="B18" s="647" t="s">
        <v>737</v>
      </c>
      <c r="C18" s="272">
        <f>'AT6B_Pay_FG_FCI_Pry'!C19/3000*750</f>
        <v>27.2325</v>
      </c>
      <c r="D18" s="314">
        <v>3.48</v>
      </c>
      <c r="E18" s="272">
        <v>23.859999999999996</v>
      </c>
      <c r="F18" s="313">
        <v>750</v>
      </c>
      <c r="G18" s="272">
        <f>ROUND('AT6B_Pay_FG_FCI_Pry'!I19/3000*750,2)</f>
        <v>21.25</v>
      </c>
      <c r="H18" s="272">
        <f t="shared" si="0"/>
        <v>6.089999999999996</v>
      </c>
      <c r="J18" s="375"/>
      <c r="K18" s="375"/>
      <c r="L18" s="375"/>
      <c r="M18" s="375"/>
    </row>
    <row r="19" spans="1:13" s="112" customFormat="1" ht="15.75" customHeight="1">
      <c r="A19" s="260">
        <v>8</v>
      </c>
      <c r="B19" s="647" t="s">
        <v>749</v>
      </c>
      <c r="C19" s="272">
        <f>'AT6B_Pay_FG_FCI_Pry'!C20/3000*750</f>
        <v>41.76</v>
      </c>
      <c r="D19" s="314">
        <v>5.32</v>
      </c>
      <c r="E19" s="272">
        <v>36.44</v>
      </c>
      <c r="F19" s="313">
        <v>750</v>
      </c>
      <c r="G19" s="272">
        <f>ROUND('AT6B_Pay_FG_FCI_Pry'!I20/3000*750,2)</f>
        <v>32.7</v>
      </c>
      <c r="H19" s="272">
        <f t="shared" si="0"/>
        <v>9.059999999999995</v>
      </c>
      <c r="J19" s="375"/>
      <c r="K19" s="375"/>
      <c r="L19" s="375"/>
      <c r="M19" s="375"/>
    </row>
    <row r="20" spans="1:13" s="112" customFormat="1" ht="15.75" customHeight="1">
      <c r="A20" s="260">
        <v>9</v>
      </c>
      <c r="B20" s="647" t="s">
        <v>834</v>
      </c>
      <c r="C20" s="272">
        <f>'AT6B_Pay_FG_FCI_Pry'!C21/3000*750</f>
        <v>19.9975</v>
      </c>
      <c r="D20" s="314">
        <v>2.57</v>
      </c>
      <c r="E20" s="272">
        <v>17.5875</v>
      </c>
      <c r="F20" s="313">
        <v>750</v>
      </c>
      <c r="G20" s="272">
        <f>ROUND('AT6B_Pay_FG_FCI_Pry'!I21/3000*750,2)</f>
        <v>18.34</v>
      </c>
      <c r="H20" s="272">
        <f t="shared" si="0"/>
        <v>1.817499999999999</v>
      </c>
      <c r="J20" s="375"/>
      <c r="K20" s="375"/>
      <c r="L20" s="375"/>
      <c r="M20" s="375"/>
    </row>
    <row r="21" spans="1:13" s="112" customFormat="1" ht="15.75" customHeight="1">
      <c r="A21" s="260">
        <v>10</v>
      </c>
      <c r="B21" s="647" t="s">
        <v>739</v>
      </c>
      <c r="C21" s="272">
        <f>'AT6B_Pay_FG_FCI_Pry'!C22/3000*750</f>
        <v>5.3425</v>
      </c>
      <c r="D21" s="314">
        <v>0.68</v>
      </c>
      <c r="E21" s="272">
        <v>4.6625000000000005</v>
      </c>
      <c r="F21" s="313">
        <v>750</v>
      </c>
      <c r="G21" s="272">
        <f>ROUND('AT6B_Pay_FG_FCI_Pry'!I22/3000*750,2)</f>
        <v>4.74</v>
      </c>
      <c r="H21" s="272">
        <f t="shared" si="0"/>
        <v>0.6025</v>
      </c>
      <c r="J21" s="375"/>
      <c r="K21" s="375"/>
      <c r="L21" s="375"/>
      <c r="M21" s="375"/>
    </row>
    <row r="22" spans="1:13" s="112" customFormat="1" ht="15.75" customHeight="1">
      <c r="A22" s="260">
        <v>11</v>
      </c>
      <c r="B22" s="647" t="s">
        <v>900</v>
      </c>
      <c r="C22" s="272">
        <f>'AT6B_Pay_FG_FCI_Pry'!C23/3000*750</f>
        <v>6.7299999999999995</v>
      </c>
      <c r="D22" s="314">
        <v>0.84</v>
      </c>
      <c r="E22" s="272">
        <v>5.73</v>
      </c>
      <c r="F22" s="313">
        <v>750</v>
      </c>
      <c r="G22" s="272">
        <f>ROUND('AT6B_Pay_FG_FCI_Pry'!I23/3000*750,2)</f>
        <v>5.67</v>
      </c>
      <c r="H22" s="272">
        <f t="shared" si="0"/>
        <v>0.9000000000000004</v>
      </c>
      <c r="J22" s="375"/>
      <c r="K22" s="375"/>
      <c r="L22" s="375"/>
      <c r="M22" s="375"/>
    </row>
    <row r="23" spans="1:13" s="112" customFormat="1" ht="15.75" customHeight="1">
      <c r="A23" s="260">
        <v>12</v>
      </c>
      <c r="B23" s="647" t="s">
        <v>731</v>
      </c>
      <c r="C23" s="272">
        <f>'AT6B_Pay_FG_FCI_Pry'!C24/3000*750</f>
        <v>20.2325</v>
      </c>
      <c r="D23" s="314">
        <v>2.54</v>
      </c>
      <c r="E23" s="272">
        <v>17.4225</v>
      </c>
      <c r="F23" s="313">
        <v>750</v>
      </c>
      <c r="G23" s="272">
        <f>ROUND('AT6B_Pay_FG_FCI_Pry'!I24/3000*750,2)</f>
        <v>16.92</v>
      </c>
      <c r="H23" s="272">
        <f t="shared" si="0"/>
        <v>3.042499999999997</v>
      </c>
      <c r="J23" s="375"/>
      <c r="K23" s="375"/>
      <c r="L23" s="375"/>
      <c r="M23" s="375"/>
    </row>
    <row r="24" spans="1:13" s="112" customFormat="1" ht="15.75" customHeight="1">
      <c r="A24" s="260">
        <v>13</v>
      </c>
      <c r="B24" s="647" t="s">
        <v>742</v>
      </c>
      <c r="C24" s="272">
        <f>'AT6B_Pay_FG_FCI_Pry'!C25/3000*750</f>
        <v>21.6625</v>
      </c>
      <c r="D24" s="314">
        <v>2.64</v>
      </c>
      <c r="E24" s="272">
        <v>18.105</v>
      </c>
      <c r="F24" s="313">
        <v>750</v>
      </c>
      <c r="G24" s="272">
        <f>ROUND('AT6B_Pay_FG_FCI_Pry'!I25/3000*750,2)</f>
        <v>18.9</v>
      </c>
      <c r="H24" s="272">
        <f t="shared" si="0"/>
        <v>1.8450000000000024</v>
      </c>
      <c r="J24" s="375"/>
      <c r="K24" s="375"/>
      <c r="L24" s="375"/>
      <c r="M24" s="375"/>
    </row>
    <row r="25" spans="1:13" s="112" customFormat="1" ht="15.75" customHeight="1">
      <c r="A25" s="260">
        <v>14</v>
      </c>
      <c r="B25" s="647" t="s">
        <v>740</v>
      </c>
      <c r="C25" s="272">
        <f>'AT6B_Pay_FG_FCI_Pry'!C26/3000*750</f>
        <v>26.565</v>
      </c>
      <c r="D25" s="314">
        <v>4</v>
      </c>
      <c r="E25" s="272">
        <v>25.262500000000003</v>
      </c>
      <c r="F25" s="313">
        <v>750</v>
      </c>
      <c r="G25" s="272">
        <f>ROUND('AT6B_Pay_FG_FCI_Pry'!I26/3000*750,2)</f>
        <v>22.08</v>
      </c>
      <c r="H25" s="272">
        <f t="shared" si="0"/>
        <v>7.1825000000000045</v>
      </c>
      <c r="J25" s="375"/>
      <c r="K25" s="375"/>
      <c r="L25" s="375"/>
      <c r="M25" s="375"/>
    </row>
    <row r="26" spans="1:13" ht="18" customHeight="1">
      <c r="A26" s="260">
        <v>15</v>
      </c>
      <c r="B26" s="647" t="s">
        <v>734</v>
      </c>
      <c r="C26" s="272">
        <f>'AT6B_Pay_FG_FCI_Pry'!C27/3000*750</f>
        <v>17.6675</v>
      </c>
      <c r="D26" s="272">
        <v>2.25</v>
      </c>
      <c r="E26" s="272">
        <v>15.4175</v>
      </c>
      <c r="F26" s="313">
        <v>750</v>
      </c>
      <c r="G26" s="272">
        <f>ROUND('AT6B_Pay_FG_FCI_Pry'!I27/3000*750,2)</f>
        <v>15.35</v>
      </c>
      <c r="H26" s="272">
        <f t="shared" si="0"/>
        <v>2.317500000000001</v>
      </c>
      <c r="I26" s="112"/>
      <c r="J26" s="375"/>
      <c r="K26" s="375"/>
      <c r="L26" s="375"/>
      <c r="M26" s="375"/>
    </row>
    <row r="27" spans="1:13" ht="20.25" customHeight="1">
      <c r="A27" s="260">
        <v>16</v>
      </c>
      <c r="B27" s="647" t="s">
        <v>741</v>
      </c>
      <c r="C27" s="272">
        <f>'AT6B_Pay_FG_FCI_Pry'!C28/3000*750</f>
        <v>42.3925</v>
      </c>
      <c r="D27" s="272">
        <v>4</v>
      </c>
      <c r="E27" s="272">
        <v>40.217499999999994</v>
      </c>
      <c r="F27" s="313">
        <v>750</v>
      </c>
      <c r="G27" s="272">
        <f>ROUND('AT6B_Pay_FG_FCI_Pry'!I28/3000*750,2)</f>
        <v>37.04</v>
      </c>
      <c r="H27" s="272">
        <f t="shared" si="0"/>
        <v>7.177499999999995</v>
      </c>
      <c r="I27" s="112"/>
      <c r="J27" s="375"/>
      <c r="K27" s="375"/>
      <c r="L27" s="375"/>
      <c r="M27" s="375"/>
    </row>
    <row r="28" spans="1:13" ht="15" customHeight="1">
      <c r="A28" s="260">
        <v>17</v>
      </c>
      <c r="B28" s="647" t="s">
        <v>733</v>
      </c>
      <c r="C28" s="272">
        <f>'AT6B_Pay_FG_FCI_Pry'!C29/3000*750</f>
        <v>15.56</v>
      </c>
      <c r="D28" s="272">
        <v>1.98</v>
      </c>
      <c r="E28" s="272">
        <v>13.58</v>
      </c>
      <c r="F28" s="313">
        <v>750</v>
      </c>
      <c r="G28" s="272">
        <f>ROUND('AT6B_Pay_FG_FCI_Pry'!I29/3000*750,2)</f>
        <v>13.52</v>
      </c>
      <c r="H28" s="272">
        <f t="shared" si="0"/>
        <v>2.040000000000001</v>
      </c>
      <c r="I28" s="112"/>
      <c r="J28" s="375"/>
      <c r="K28" s="375"/>
      <c r="L28" s="375"/>
      <c r="M28" s="375"/>
    </row>
    <row r="29" spans="1:13" ht="15" customHeight="1">
      <c r="A29" s="260">
        <v>18</v>
      </c>
      <c r="B29" s="647" t="s">
        <v>735</v>
      </c>
      <c r="C29" s="272">
        <f>'AT6B_Pay_FG_FCI_Pry'!C30/3000*750</f>
        <v>35.465</v>
      </c>
      <c r="D29" s="272">
        <v>3</v>
      </c>
      <c r="E29" s="272">
        <v>33.19</v>
      </c>
      <c r="F29" s="313">
        <v>750</v>
      </c>
      <c r="G29" s="272">
        <f>ROUND('AT6B_Pay_FG_FCI_Pry'!I30/3000*750,2)</f>
        <v>31.21</v>
      </c>
      <c r="H29" s="272">
        <f t="shared" si="0"/>
        <v>4.979999999999997</v>
      </c>
      <c r="I29" s="112"/>
      <c r="J29" s="375"/>
      <c r="K29" s="375"/>
      <c r="L29" s="375"/>
      <c r="M29" s="375"/>
    </row>
    <row r="30" spans="1:13" ht="15" customHeight="1">
      <c r="A30" s="260">
        <v>19</v>
      </c>
      <c r="B30" s="647" t="s">
        <v>732</v>
      </c>
      <c r="C30" s="272">
        <f>'AT6B_Pay_FG_FCI_Pry'!C31/3000*750</f>
        <v>24.355</v>
      </c>
      <c r="D30" s="272">
        <v>3.14</v>
      </c>
      <c r="E30" s="272">
        <v>21.485</v>
      </c>
      <c r="F30" s="313">
        <v>750</v>
      </c>
      <c r="G30" s="272">
        <f>ROUND('AT6B_Pay_FG_FCI_Pry'!I31/3000*750,2)</f>
        <v>21.78</v>
      </c>
      <c r="H30" s="272">
        <f t="shared" si="0"/>
        <v>2.844999999999999</v>
      </c>
      <c r="I30" s="112"/>
      <c r="J30" s="375"/>
      <c r="K30" s="375"/>
      <c r="L30" s="375"/>
      <c r="M30" s="375"/>
    </row>
    <row r="31" spans="1:13" ht="15" customHeight="1">
      <c r="A31" s="260">
        <v>20</v>
      </c>
      <c r="B31" s="647" t="s">
        <v>836</v>
      </c>
      <c r="C31" s="272">
        <f>'AT6B_Pay_FG_FCI_Pry'!C32/3000*750</f>
        <v>22.8575</v>
      </c>
      <c r="D31" s="272">
        <v>2.8</v>
      </c>
      <c r="E31" s="272">
        <v>19.154999999999998</v>
      </c>
      <c r="F31" s="313">
        <v>750</v>
      </c>
      <c r="G31" s="272">
        <f>ROUND('AT6B_Pay_FG_FCI_Pry'!I32/3000*750,2)</f>
        <v>19.86</v>
      </c>
      <c r="H31" s="272">
        <f t="shared" si="0"/>
        <v>2.094999999999999</v>
      </c>
      <c r="I31" s="112"/>
      <c r="J31" s="375"/>
      <c r="K31" s="375"/>
      <c r="L31" s="375"/>
      <c r="M31" s="375"/>
    </row>
    <row r="32" spans="1:13" ht="15" customHeight="1">
      <c r="A32" s="260">
        <v>21</v>
      </c>
      <c r="B32" s="647" t="s">
        <v>729</v>
      </c>
      <c r="C32" s="272">
        <f>'AT6B_Pay_FG_FCI_Pry'!C33/3000*750</f>
        <v>29.225</v>
      </c>
      <c r="D32" s="272">
        <v>3.73</v>
      </c>
      <c r="E32" s="272">
        <v>25.495</v>
      </c>
      <c r="F32" s="313">
        <v>750</v>
      </c>
      <c r="G32" s="272">
        <f>ROUND('AT6B_Pay_FG_FCI_Pry'!I33/3000*750,2)</f>
        <v>24.69</v>
      </c>
      <c r="H32" s="272">
        <f t="shared" si="0"/>
        <v>4.535</v>
      </c>
      <c r="I32" s="112"/>
      <c r="J32" s="375"/>
      <c r="K32" s="375"/>
      <c r="L32" s="375"/>
      <c r="M32" s="375"/>
    </row>
    <row r="33" spans="1:13" ht="15" customHeight="1">
      <c r="A33" s="260">
        <v>22</v>
      </c>
      <c r="B33" s="647" t="s">
        <v>746</v>
      </c>
      <c r="C33" s="272">
        <f>'AT6B_Pay_FG_FCI_Pry'!C34/3000*750</f>
        <v>31.519999999999996</v>
      </c>
      <c r="D33" s="272">
        <v>4.09</v>
      </c>
      <c r="E33" s="272">
        <v>27.970000000000002</v>
      </c>
      <c r="F33" s="313">
        <v>750</v>
      </c>
      <c r="G33" s="272">
        <f>ROUND('AT6B_Pay_FG_FCI_Pry'!I34/3000*750,2)</f>
        <v>27.11</v>
      </c>
      <c r="H33" s="272">
        <f t="shared" si="0"/>
        <v>4.950000000000003</v>
      </c>
      <c r="I33" s="112"/>
      <c r="J33" s="375"/>
      <c r="K33" s="375"/>
      <c r="L33" s="375"/>
      <c r="M33" s="375"/>
    </row>
    <row r="34" spans="1:13" ht="15" customHeight="1">
      <c r="A34" s="260">
        <v>23</v>
      </c>
      <c r="B34" s="647" t="s">
        <v>738</v>
      </c>
      <c r="C34" s="272">
        <f>'AT6B_Pay_FG_FCI_Pry'!C35/3000*750</f>
        <v>20.7525</v>
      </c>
      <c r="D34" s="272">
        <v>14</v>
      </c>
      <c r="E34" s="272">
        <v>18.1625</v>
      </c>
      <c r="F34" s="313">
        <v>750</v>
      </c>
      <c r="G34" s="272">
        <f>ROUND('AT6B_Pay_FG_FCI_Pry'!I35/3000*750,2)</f>
        <v>18.33</v>
      </c>
      <c r="H34" s="272">
        <f t="shared" si="0"/>
        <v>13.832500000000003</v>
      </c>
      <c r="I34" s="112"/>
      <c r="J34" s="375"/>
      <c r="K34" s="375"/>
      <c r="L34" s="375"/>
      <c r="M34" s="375"/>
    </row>
    <row r="35" spans="1:13" ht="15" customHeight="1">
      <c r="A35" s="260">
        <v>24</v>
      </c>
      <c r="B35" s="647" t="s">
        <v>730</v>
      </c>
      <c r="C35" s="272">
        <f>'AT6B_Pay_FG_FCI_Pry'!C36/3000*750</f>
        <v>23.3425</v>
      </c>
      <c r="D35" s="272">
        <v>2.93</v>
      </c>
      <c r="E35" s="272">
        <v>20.052500000000002</v>
      </c>
      <c r="F35" s="313">
        <v>750</v>
      </c>
      <c r="G35" s="272">
        <f>ROUND('AT6B_Pay_FG_FCI_Pry'!I36/3000*750,2)</f>
        <v>20.24</v>
      </c>
      <c r="H35" s="272">
        <f t="shared" si="0"/>
        <v>2.7425000000000033</v>
      </c>
      <c r="I35" s="112"/>
      <c r="J35" s="375"/>
      <c r="K35" s="375"/>
      <c r="L35" s="375"/>
      <c r="M35" s="375"/>
    </row>
    <row r="36" spans="1:13" ht="15" customHeight="1">
      <c r="A36" s="260">
        <v>25</v>
      </c>
      <c r="B36" s="647" t="s">
        <v>736</v>
      </c>
      <c r="C36" s="272">
        <f>'AT6B_Pay_FG_FCI_Pry'!C37/3000*750</f>
        <v>8.1825</v>
      </c>
      <c r="D36" s="272">
        <v>1.04</v>
      </c>
      <c r="E36" s="272">
        <v>7.142499999999999</v>
      </c>
      <c r="F36" s="313">
        <v>750</v>
      </c>
      <c r="G36" s="272">
        <f>ROUND('AT6B_Pay_FG_FCI_Pry'!I37/3000*750,2)</f>
        <v>8.11</v>
      </c>
      <c r="H36" s="272">
        <f t="shared" si="0"/>
        <v>0.07249999999999979</v>
      </c>
      <c r="I36" s="112"/>
      <c r="J36" s="375"/>
      <c r="K36" s="375"/>
      <c r="L36" s="375"/>
      <c r="M36" s="375"/>
    </row>
    <row r="37" spans="1:13" ht="15" customHeight="1">
      <c r="A37" s="260">
        <v>26</v>
      </c>
      <c r="B37" s="647" t="s">
        <v>744</v>
      </c>
      <c r="C37" s="272">
        <f>'AT6B_Pay_FG_FCI_Pry'!C38/3000*750</f>
        <v>9.96</v>
      </c>
      <c r="D37" s="272">
        <v>1.22</v>
      </c>
      <c r="E37" s="272">
        <v>8.33</v>
      </c>
      <c r="F37" s="313">
        <v>750</v>
      </c>
      <c r="G37" s="272">
        <f>ROUND('AT6B_Pay_FG_FCI_Pry'!I38/3000*750,2)</f>
        <v>7.94</v>
      </c>
      <c r="H37" s="272">
        <f t="shared" si="0"/>
        <v>1.6100000000000003</v>
      </c>
      <c r="I37" s="112"/>
      <c r="J37" s="375"/>
      <c r="K37" s="375"/>
      <c r="L37" s="375"/>
      <c r="M37" s="375"/>
    </row>
    <row r="38" spans="1:13" ht="15" customHeight="1">
      <c r="A38" s="262">
        <v>27</v>
      </c>
      <c r="B38" s="647" t="s">
        <v>745</v>
      </c>
      <c r="C38" s="272">
        <f>'AT6B_Pay_FG_FCI_Pry'!C39/3000*750</f>
        <v>23.642500000000002</v>
      </c>
      <c r="D38" s="272">
        <v>2.98</v>
      </c>
      <c r="E38" s="272">
        <v>20.28</v>
      </c>
      <c r="F38" s="313">
        <v>750</v>
      </c>
      <c r="G38" s="272">
        <f>ROUND('AT6B_Pay_FG_FCI_Pry'!I39/3000*750,2)</f>
        <v>19.8</v>
      </c>
      <c r="H38" s="272">
        <f t="shared" si="0"/>
        <v>3.460000000000001</v>
      </c>
      <c r="I38" s="112"/>
      <c r="J38" s="375"/>
      <c r="K38" s="375"/>
      <c r="L38" s="375"/>
      <c r="M38" s="375"/>
    </row>
    <row r="39" spans="1:13" ht="16.5" customHeight="1">
      <c r="A39" s="330"/>
      <c r="B39" s="329" t="s">
        <v>19</v>
      </c>
      <c r="C39" s="331">
        <f>SUM(C12:C38)</f>
        <v>667.8400000000001</v>
      </c>
      <c r="D39" s="331">
        <f>SUM(D12:D38)</f>
        <v>94.18000000000002</v>
      </c>
      <c r="E39" s="331">
        <f>SUM(E12:E38)</f>
        <v>590.39</v>
      </c>
      <c r="F39" s="492">
        <v>750</v>
      </c>
      <c r="G39" s="331">
        <f>SUM(G12:G38)</f>
        <v>566.19</v>
      </c>
      <c r="H39" s="331">
        <f>SUM(H12:H38)</f>
        <v>118.38</v>
      </c>
      <c r="J39" s="370"/>
      <c r="K39" s="370"/>
      <c r="L39" s="370"/>
      <c r="M39" s="370"/>
    </row>
    <row r="40" spans="5:8" ht="12.75">
      <c r="E40" s="30"/>
      <c r="F40" s="30"/>
      <c r="G40" s="21"/>
      <c r="H40" s="21"/>
    </row>
    <row r="41" spans="1:8" ht="12.75">
      <c r="A41" s="15" t="s">
        <v>780</v>
      </c>
      <c r="E41" s="11"/>
      <c r="F41" s="11"/>
      <c r="G41" s="30"/>
      <c r="H41" s="21"/>
    </row>
    <row r="42" spans="1:9" ht="12.75">
      <c r="A42" s="35" t="s">
        <v>12</v>
      </c>
      <c r="C42" s="14"/>
      <c r="D42" s="14"/>
      <c r="E42" s="881" t="s">
        <v>13</v>
      </c>
      <c r="F42" s="881"/>
      <c r="G42" s="83"/>
      <c r="H42" s="14"/>
      <c r="I42" s="83"/>
    </row>
    <row r="43" spans="3:8" ht="12.75" customHeight="1">
      <c r="C43" s="83"/>
      <c r="D43" s="881" t="s">
        <v>14</v>
      </c>
      <c r="E43" s="881"/>
      <c r="F43" s="881"/>
      <c r="G43" s="881"/>
      <c r="H43" s="83"/>
    </row>
    <row r="44" spans="3:8" ht="12.75" customHeight="1">
      <c r="C44" s="881" t="s">
        <v>637</v>
      </c>
      <c r="D44" s="881"/>
      <c r="E44" s="881"/>
      <c r="F44" s="881"/>
      <c r="G44" s="881"/>
      <c r="H44" s="881"/>
    </row>
    <row r="45" spans="3:11" ht="12.75">
      <c r="C45" s="14"/>
      <c r="D45" s="14"/>
      <c r="E45" s="1" t="s">
        <v>84</v>
      </c>
      <c r="F45" s="1"/>
      <c r="G45" s="1"/>
      <c r="H45" s="1"/>
      <c r="I45" s="35"/>
      <c r="J45" s="35"/>
      <c r="K45" s="35"/>
    </row>
  </sheetData>
  <sheetProtection/>
  <mergeCells count="6">
    <mergeCell ref="C44:H44"/>
    <mergeCell ref="C3:E3"/>
    <mergeCell ref="D9:H9"/>
    <mergeCell ref="A5:H5"/>
    <mergeCell ref="E42:F42"/>
    <mergeCell ref="D43:G43"/>
  </mergeCells>
  <printOptions horizontalCentered="1"/>
  <pageMargins left="0.7086614173228347" right="0.7086614173228347" top="0.67" bottom="0" header="0.82" footer="0.31496062992125984"/>
  <pageSetup fitToHeight="1" fitToWidth="1" horizontalDpi="600" verticalDpi="600" orientation="landscape" paperSize="9" scale="72" r:id="rId1"/>
  <colBreaks count="1" manualBreakCount="1">
    <brk id="8" max="32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H32"/>
  <sheetViews>
    <sheetView view="pageBreakPreview" zoomScale="81" zoomScaleSheetLayoutView="81" zoomScalePageLayoutView="0" workbookViewId="0" topLeftCell="A5">
      <selection activeCell="C34" sqref="C34:D34"/>
    </sheetView>
  </sheetViews>
  <sheetFormatPr defaultColWidth="9.140625" defaultRowHeight="12.75"/>
  <cols>
    <col min="1" max="1" width="4.421875" style="15" customWidth="1"/>
    <col min="2" max="2" width="37.28125" style="15" customWidth="1"/>
    <col min="3" max="3" width="12.28125" style="15" customWidth="1"/>
    <col min="4" max="5" width="15.140625" style="15" customWidth="1"/>
    <col min="6" max="6" width="15.8515625" style="15" customWidth="1"/>
    <col min="7" max="7" width="12.57421875" style="15" customWidth="1"/>
    <col min="8" max="8" width="23.7109375" style="15" customWidth="1"/>
    <col min="9" max="16384" width="9.140625" style="15" customWidth="1"/>
  </cols>
  <sheetData>
    <row r="1" spans="4:8" ht="15">
      <c r="D1" s="35"/>
      <c r="E1" s="35"/>
      <c r="F1" s="35"/>
      <c r="H1" s="40" t="s">
        <v>67</v>
      </c>
    </row>
    <row r="2" spans="1:8" ht="15">
      <c r="A2" s="969" t="s">
        <v>0</v>
      </c>
      <c r="B2" s="969"/>
      <c r="C2" s="969"/>
      <c r="D2" s="969"/>
      <c r="E2" s="969"/>
      <c r="F2" s="969"/>
      <c r="G2" s="969"/>
      <c r="H2" s="969"/>
    </row>
    <row r="3" spans="1:8" ht="20.25">
      <c r="A3" s="902" t="s">
        <v>859</v>
      </c>
      <c r="B3" s="902"/>
      <c r="C3" s="902"/>
      <c r="D3" s="902"/>
      <c r="E3" s="902"/>
      <c r="F3" s="902"/>
      <c r="G3" s="902"/>
      <c r="H3" s="902"/>
    </row>
    <row r="4" ht="10.5" customHeight="1"/>
    <row r="5" spans="1:8" ht="19.5" customHeight="1">
      <c r="A5" s="903" t="s">
        <v>787</v>
      </c>
      <c r="B5" s="969"/>
      <c r="C5" s="969"/>
      <c r="D5" s="969"/>
      <c r="E5" s="969"/>
      <c r="F5" s="969"/>
      <c r="G5" s="969"/>
      <c r="H5" s="969"/>
    </row>
    <row r="7" spans="1:8" s="13" customFormat="1" ht="15.75" customHeight="1" hidden="1">
      <c r="A7" s="15"/>
      <c r="B7" s="15"/>
      <c r="C7" s="15"/>
      <c r="D7" s="15"/>
      <c r="E7" s="15"/>
      <c r="F7" s="15"/>
      <c r="G7" s="15"/>
      <c r="H7" s="15"/>
    </row>
    <row r="8" spans="1:8" s="13" customFormat="1" ht="15.75">
      <c r="A8" s="35" t="s">
        <v>634</v>
      </c>
      <c r="B8" s="35"/>
      <c r="C8" s="15"/>
      <c r="D8" s="15"/>
      <c r="E8" s="15"/>
      <c r="F8" s="15"/>
      <c r="G8" s="15"/>
      <c r="H8" s="32" t="s">
        <v>27</v>
      </c>
    </row>
    <row r="9" spans="1:8" s="13" customFormat="1" ht="15.75">
      <c r="A9" s="14"/>
      <c r="B9" s="15"/>
      <c r="C9" s="15"/>
      <c r="D9" s="100"/>
      <c r="E9" s="100"/>
      <c r="G9" s="100" t="s">
        <v>959</v>
      </c>
      <c r="H9" s="100"/>
    </row>
    <row r="10" spans="1:8" s="36" customFormat="1" ht="55.5" customHeight="1">
      <c r="A10" s="38"/>
      <c r="B10" s="5" t="s">
        <v>28</v>
      </c>
      <c r="C10" s="5" t="s">
        <v>958</v>
      </c>
      <c r="D10" s="5" t="s">
        <v>786</v>
      </c>
      <c r="E10" s="5" t="s">
        <v>243</v>
      </c>
      <c r="F10" s="5" t="s">
        <v>244</v>
      </c>
      <c r="G10" s="5" t="s">
        <v>73</v>
      </c>
      <c r="H10" s="5" t="s">
        <v>788</v>
      </c>
    </row>
    <row r="11" spans="1:8" s="36" customFormat="1" ht="14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8" ht="16.5" customHeight="1">
      <c r="A12" s="29" t="s">
        <v>29</v>
      </c>
      <c r="B12" s="29" t="s">
        <v>30</v>
      </c>
      <c r="C12" s="1007">
        <v>301.63</v>
      </c>
      <c r="D12" s="1008">
        <v>0.7</v>
      </c>
      <c r="E12" s="1008">
        <f>C12-D12</f>
        <v>300.93</v>
      </c>
      <c r="F12" s="1009">
        <v>0</v>
      </c>
      <c r="G12" s="1012">
        <v>301.08</v>
      </c>
      <c r="H12" s="1012">
        <f>D12+E12-G16</f>
        <v>0.5500000000000114</v>
      </c>
    </row>
    <row r="13" spans="1:8" ht="20.25" customHeight="1">
      <c r="A13" s="19"/>
      <c r="B13" s="19" t="s">
        <v>31</v>
      </c>
      <c r="C13" s="1007"/>
      <c r="D13" s="1008"/>
      <c r="E13" s="1013"/>
      <c r="F13" s="1010"/>
      <c r="G13" s="1014"/>
      <c r="H13" s="1010"/>
    </row>
    <row r="14" spans="1:8" ht="17.25" customHeight="1">
      <c r="A14" s="19"/>
      <c r="B14" s="19" t="s">
        <v>206</v>
      </c>
      <c r="C14" s="1007"/>
      <c r="D14" s="1008"/>
      <c r="E14" s="1013"/>
      <c r="F14" s="1010"/>
      <c r="G14" s="1014"/>
      <c r="H14" s="1010"/>
    </row>
    <row r="15" spans="1:8" s="36" customFormat="1" ht="33.75" customHeight="1">
      <c r="A15" s="37"/>
      <c r="B15" s="37" t="s">
        <v>207</v>
      </c>
      <c r="C15" s="1007"/>
      <c r="D15" s="1008"/>
      <c r="E15" s="1013"/>
      <c r="F15" s="1011"/>
      <c r="G15" s="1015"/>
      <c r="H15" s="1011"/>
    </row>
    <row r="16" spans="1:8" s="36" customFormat="1" ht="15">
      <c r="A16" s="37"/>
      <c r="B16" s="38" t="s">
        <v>32</v>
      </c>
      <c r="C16" s="332">
        <f aca="true" t="shared" si="0" ref="C16:H16">C12</f>
        <v>301.63</v>
      </c>
      <c r="D16" s="310">
        <f t="shared" si="0"/>
        <v>0.7</v>
      </c>
      <c r="E16" s="310">
        <f t="shared" si="0"/>
        <v>300.93</v>
      </c>
      <c r="F16" s="310">
        <f t="shared" si="0"/>
        <v>0</v>
      </c>
      <c r="G16" s="310">
        <f t="shared" si="0"/>
        <v>301.08</v>
      </c>
      <c r="H16" s="310">
        <f t="shared" si="0"/>
        <v>0.5500000000000114</v>
      </c>
    </row>
    <row r="17" spans="1:8" s="36" customFormat="1" ht="40.5" customHeight="1">
      <c r="A17" s="38" t="s">
        <v>33</v>
      </c>
      <c r="B17" s="38" t="s">
        <v>242</v>
      </c>
      <c r="C17" s="1018">
        <v>301.63</v>
      </c>
      <c r="D17" s="1016">
        <v>0</v>
      </c>
      <c r="E17" s="1016">
        <f>C17-D17</f>
        <v>301.63</v>
      </c>
      <c r="F17" s="1017">
        <v>0</v>
      </c>
      <c r="G17" s="1012">
        <v>301.09</v>
      </c>
      <c r="H17" s="1019">
        <f>D17+E17-G25</f>
        <v>0.5400000000000205</v>
      </c>
    </row>
    <row r="18" spans="1:8" ht="28.5" customHeight="1">
      <c r="A18" s="19"/>
      <c r="B18" s="146" t="s">
        <v>209</v>
      </c>
      <c r="C18" s="1018"/>
      <c r="D18" s="1016"/>
      <c r="E18" s="1017"/>
      <c r="F18" s="1017"/>
      <c r="G18" s="1014"/>
      <c r="H18" s="1020"/>
    </row>
    <row r="19" spans="1:8" ht="19.5" customHeight="1">
      <c r="A19" s="19"/>
      <c r="B19" s="37" t="s">
        <v>34</v>
      </c>
      <c r="C19" s="1018"/>
      <c r="D19" s="1016"/>
      <c r="E19" s="1017"/>
      <c r="F19" s="1017"/>
      <c r="G19" s="1014"/>
      <c r="H19" s="1020"/>
    </row>
    <row r="20" spans="1:8" ht="21.75" customHeight="1">
      <c r="A20" s="19"/>
      <c r="B20" s="37" t="s">
        <v>210</v>
      </c>
      <c r="C20" s="1018"/>
      <c r="D20" s="1016"/>
      <c r="E20" s="1017"/>
      <c r="F20" s="1017"/>
      <c r="G20" s="1014"/>
      <c r="H20" s="1020"/>
    </row>
    <row r="21" spans="1:8" s="36" customFormat="1" ht="27.75" customHeight="1">
      <c r="A21" s="37"/>
      <c r="B21" s="37" t="s">
        <v>35</v>
      </c>
      <c r="C21" s="1018"/>
      <c r="D21" s="1016"/>
      <c r="E21" s="1017"/>
      <c r="F21" s="1017"/>
      <c r="G21" s="1014"/>
      <c r="H21" s="1020"/>
    </row>
    <row r="22" spans="1:8" s="36" customFormat="1" ht="19.5" customHeight="1">
      <c r="A22" s="37"/>
      <c r="B22" s="37" t="s">
        <v>208</v>
      </c>
      <c r="C22" s="1018"/>
      <c r="D22" s="1016"/>
      <c r="E22" s="1017"/>
      <c r="F22" s="1017"/>
      <c r="G22" s="1014"/>
      <c r="H22" s="1020"/>
    </row>
    <row r="23" spans="1:8" s="36" customFormat="1" ht="27.75" customHeight="1">
      <c r="A23" s="37"/>
      <c r="B23" s="37" t="s">
        <v>211</v>
      </c>
      <c r="C23" s="1018"/>
      <c r="D23" s="1016"/>
      <c r="E23" s="1017"/>
      <c r="F23" s="1017"/>
      <c r="G23" s="1014"/>
      <c r="H23" s="1020"/>
    </row>
    <row r="24" spans="1:8" s="36" customFormat="1" ht="18.75" customHeight="1">
      <c r="A24" s="38"/>
      <c r="B24" s="37" t="s">
        <v>212</v>
      </c>
      <c r="C24" s="1018"/>
      <c r="D24" s="1016"/>
      <c r="E24" s="1017"/>
      <c r="F24" s="1017"/>
      <c r="G24" s="1015"/>
      <c r="H24" s="1021"/>
    </row>
    <row r="25" spans="1:8" s="36" customFormat="1" ht="19.5" customHeight="1">
      <c r="A25" s="38"/>
      <c r="B25" s="38" t="s">
        <v>32</v>
      </c>
      <c r="C25" s="310">
        <v>0</v>
      </c>
      <c r="D25" s="310">
        <v>4</v>
      </c>
      <c r="E25" s="310">
        <f>E17</f>
        <v>301.63</v>
      </c>
      <c r="F25" s="310">
        <f>F17</f>
        <v>0</v>
      </c>
      <c r="G25" s="310">
        <f>G17</f>
        <v>301.09</v>
      </c>
      <c r="H25" s="310">
        <f>H17</f>
        <v>0.5400000000000205</v>
      </c>
    </row>
    <row r="26" spans="1:8" ht="12.75">
      <c r="A26" s="19"/>
      <c r="B26" s="29" t="s">
        <v>36</v>
      </c>
      <c r="C26" s="310">
        <f aca="true" t="shared" si="1" ref="C26:H26">C16+C25</f>
        <v>301.63</v>
      </c>
      <c r="D26" s="310">
        <f t="shared" si="1"/>
        <v>4.7</v>
      </c>
      <c r="E26" s="310">
        <f t="shared" si="1"/>
        <v>602.56</v>
      </c>
      <c r="F26" s="17">
        <f t="shared" si="1"/>
        <v>0</v>
      </c>
      <c r="G26" s="502">
        <f t="shared" si="1"/>
        <v>602.17</v>
      </c>
      <c r="H26" s="310">
        <f t="shared" si="1"/>
        <v>1.0900000000000318</v>
      </c>
    </row>
    <row r="27" spans="2:8" s="36" customFormat="1" ht="44.25" customHeight="1">
      <c r="B27" s="1022" t="s">
        <v>781</v>
      </c>
      <c r="C27" s="1022"/>
      <c r="D27" s="1022"/>
      <c r="E27" s="1022"/>
      <c r="F27" s="1022"/>
      <c r="G27" s="1022"/>
      <c r="H27" s="1022"/>
    </row>
    <row r="28" s="36" customFormat="1" ht="15.75" customHeight="1"/>
    <row r="29" spans="2:8" ht="12.75" customHeight="1">
      <c r="B29" s="14" t="s">
        <v>12</v>
      </c>
      <c r="C29" s="14"/>
      <c r="D29" s="14"/>
      <c r="E29" s="881" t="s">
        <v>13</v>
      </c>
      <c r="F29" s="881"/>
      <c r="G29" s="83"/>
      <c r="H29" s="14"/>
    </row>
    <row r="30" spans="2:8" ht="13.5" customHeight="1">
      <c r="B30" s="83"/>
      <c r="C30" s="83"/>
      <c r="D30" s="881" t="s">
        <v>14</v>
      </c>
      <c r="E30" s="881"/>
      <c r="F30" s="881"/>
      <c r="G30" s="881"/>
      <c r="H30" s="83"/>
    </row>
    <row r="31" spans="2:8" ht="12" customHeight="1">
      <c r="B31" s="83"/>
      <c r="C31" s="881" t="s">
        <v>637</v>
      </c>
      <c r="D31" s="881"/>
      <c r="E31" s="881"/>
      <c r="F31" s="881"/>
      <c r="G31" s="881"/>
      <c r="H31" s="881"/>
    </row>
    <row r="32" spans="2:8" ht="12.75">
      <c r="B32" s="14"/>
      <c r="C32" s="14"/>
      <c r="D32" s="14"/>
      <c r="E32" s="1" t="s">
        <v>84</v>
      </c>
      <c r="F32" s="1"/>
      <c r="G32" s="1"/>
      <c r="H32" s="1"/>
    </row>
  </sheetData>
  <sheetProtection/>
  <mergeCells count="19">
    <mergeCell ref="E29:F29"/>
    <mergeCell ref="D30:G30"/>
    <mergeCell ref="C31:H31"/>
    <mergeCell ref="D17:D24"/>
    <mergeCell ref="E17:E24"/>
    <mergeCell ref="F17:F24"/>
    <mergeCell ref="C17:C24"/>
    <mergeCell ref="H17:H24"/>
    <mergeCell ref="G17:G24"/>
    <mergeCell ref="B27:H27"/>
    <mergeCell ref="A2:H2"/>
    <mergeCell ref="A3:H3"/>
    <mergeCell ref="C12:C15"/>
    <mergeCell ref="D12:D15"/>
    <mergeCell ref="F12:F15"/>
    <mergeCell ref="H12:H15"/>
    <mergeCell ref="A5:H5"/>
    <mergeCell ref="E12:E15"/>
    <mergeCell ref="G12:G15"/>
  </mergeCells>
  <printOptions horizontalCentered="1"/>
  <pageMargins left="0.7086614173228347" right="0.7086614173228347" top="0.51" bottom="0" header="0.64" footer="0.31496062992125984"/>
  <pageSetup fitToHeight="1" fitToWidth="1" horizontalDpi="600" verticalDpi="600" orientation="landscape" paperSize="9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N46"/>
  <sheetViews>
    <sheetView view="pageBreakPreview" zoomScale="75" zoomScaleSheetLayoutView="75" zoomScalePageLayoutView="0" workbookViewId="0" topLeftCell="A1">
      <selection activeCell="G42" sqref="G42"/>
    </sheetView>
  </sheetViews>
  <sheetFormatPr defaultColWidth="9.140625" defaultRowHeight="12.75"/>
  <cols>
    <col min="1" max="1" width="9.140625" style="15" customWidth="1"/>
    <col min="2" max="2" width="19.28125" style="15" customWidth="1"/>
    <col min="3" max="3" width="28.421875" style="15" customWidth="1"/>
    <col min="4" max="4" width="27.7109375" style="15" customWidth="1"/>
    <col min="5" max="5" width="30.28125" style="15" customWidth="1"/>
    <col min="6" max="6" width="9.140625" style="15" customWidth="1"/>
    <col min="7" max="7" width="9.28125" style="15" bestFit="1" customWidth="1"/>
    <col min="8" max="16384" width="9.140625" style="15" customWidth="1"/>
  </cols>
  <sheetData>
    <row r="1" ht="15">
      <c r="E1" s="40" t="s">
        <v>578</v>
      </c>
    </row>
    <row r="2" spans="4:5" ht="15">
      <c r="D2" s="44" t="s">
        <v>0</v>
      </c>
      <c r="E2" s="44"/>
    </row>
    <row r="3" spans="2:5" ht="20.25">
      <c r="B3" s="152"/>
      <c r="C3" s="902" t="s">
        <v>859</v>
      </c>
      <c r="D3" s="902"/>
      <c r="E3" s="902"/>
    </row>
    <row r="4" ht="10.5" customHeight="1"/>
    <row r="5" spans="1:5" ht="30.75" customHeight="1">
      <c r="A5" s="1023" t="s">
        <v>960</v>
      </c>
      <c r="B5" s="1023"/>
      <c r="C5" s="1023"/>
      <c r="D5" s="1023"/>
      <c r="E5" s="1023"/>
    </row>
    <row r="7" ht="0.75" customHeight="1"/>
    <row r="8" spans="1:2" ht="12.75">
      <c r="A8" s="35" t="s">
        <v>634</v>
      </c>
      <c r="B8" s="35"/>
    </row>
    <row r="9" spans="4:14" ht="12.75">
      <c r="D9" s="1027" t="s">
        <v>936</v>
      </c>
      <c r="E9" s="1027"/>
      <c r="M9" s="19"/>
      <c r="N9" s="21"/>
    </row>
    <row r="10" spans="1:14" ht="26.25" customHeight="1">
      <c r="A10" s="871" t="s">
        <v>2</v>
      </c>
      <c r="B10" s="871" t="s">
        <v>3</v>
      </c>
      <c r="C10" s="1024" t="s">
        <v>574</v>
      </c>
      <c r="D10" s="1025"/>
      <c r="E10" s="1026"/>
      <c r="M10" s="21"/>
      <c r="N10" s="21"/>
    </row>
    <row r="11" spans="1:5" ht="56.25" customHeight="1">
      <c r="A11" s="871"/>
      <c r="B11" s="871"/>
      <c r="C11" s="5" t="s">
        <v>576</v>
      </c>
      <c r="D11" s="5" t="s">
        <v>577</v>
      </c>
      <c r="E11" s="5" t="s">
        <v>575</v>
      </c>
    </row>
    <row r="12" spans="1:5" s="112" customFormat="1" ht="15.75" customHeight="1">
      <c r="A12" s="68">
        <v>1</v>
      </c>
      <c r="B12" s="67">
        <v>2</v>
      </c>
      <c r="C12" s="68">
        <v>3</v>
      </c>
      <c r="D12" s="67">
        <v>4</v>
      </c>
      <c r="E12" s="68">
        <v>5</v>
      </c>
    </row>
    <row r="13" spans="1:5" s="112" customFormat="1" ht="15" customHeight="1">
      <c r="A13" s="581">
        <v>1</v>
      </c>
      <c r="B13" s="586" t="s">
        <v>898</v>
      </c>
      <c r="C13" s="150">
        <v>2</v>
      </c>
      <c r="D13" s="839">
        <v>6</v>
      </c>
      <c r="E13" s="271"/>
    </row>
    <row r="14" spans="1:5" s="112" customFormat="1" ht="15" customHeight="1">
      <c r="A14" s="581">
        <v>2</v>
      </c>
      <c r="B14" s="586" t="s">
        <v>899</v>
      </c>
      <c r="C14" s="150">
        <v>2</v>
      </c>
      <c r="D14" s="839">
        <v>5</v>
      </c>
      <c r="E14" s="271"/>
    </row>
    <row r="15" spans="1:5" s="112" customFormat="1" ht="15" customHeight="1">
      <c r="A15" s="581">
        <v>3</v>
      </c>
      <c r="B15" s="586" t="s">
        <v>839</v>
      </c>
      <c r="C15" s="150">
        <v>2</v>
      </c>
      <c r="D15" s="839">
        <v>6</v>
      </c>
      <c r="E15" s="271"/>
    </row>
    <row r="16" spans="1:5" s="112" customFormat="1" ht="15" customHeight="1">
      <c r="A16" s="581">
        <v>4</v>
      </c>
      <c r="B16" s="586" t="s">
        <v>743</v>
      </c>
      <c r="C16" s="150">
        <v>2</v>
      </c>
      <c r="D16" s="839">
        <v>7</v>
      </c>
      <c r="E16" s="271"/>
    </row>
    <row r="17" spans="1:5" s="112" customFormat="1" ht="15" customHeight="1">
      <c r="A17" s="581">
        <v>5</v>
      </c>
      <c r="B17" s="586" t="s">
        <v>748</v>
      </c>
      <c r="C17" s="150">
        <v>1</v>
      </c>
      <c r="D17" s="839">
        <v>4</v>
      </c>
      <c r="E17" s="271"/>
    </row>
    <row r="18" spans="1:5" s="112" customFormat="1" ht="15" customHeight="1">
      <c r="A18" s="581">
        <v>6</v>
      </c>
      <c r="B18" s="586" t="s">
        <v>747</v>
      </c>
      <c r="C18" s="150">
        <v>2</v>
      </c>
      <c r="D18" s="839">
        <v>4</v>
      </c>
      <c r="E18" s="271"/>
    </row>
    <row r="19" spans="1:5" s="112" customFormat="1" ht="15" customHeight="1">
      <c r="A19" s="581">
        <v>7</v>
      </c>
      <c r="B19" s="586" t="s">
        <v>737</v>
      </c>
      <c r="C19" s="150">
        <v>1</v>
      </c>
      <c r="D19" s="839">
        <v>1</v>
      </c>
      <c r="E19" s="271"/>
    </row>
    <row r="20" spans="1:5" s="112" customFormat="1" ht="15" customHeight="1">
      <c r="A20" s="581">
        <v>8</v>
      </c>
      <c r="B20" s="586" t="s">
        <v>749</v>
      </c>
      <c r="C20" s="150">
        <v>2</v>
      </c>
      <c r="D20" s="839">
        <v>4</v>
      </c>
      <c r="E20" s="271"/>
    </row>
    <row r="21" spans="1:5" s="112" customFormat="1" ht="15" customHeight="1">
      <c r="A21" s="581">
        <v>9</v>
      </c>
      <c r="B21" s="586" t="s">
        <v>834</v>
      </c>
      <c r="C21" s="150">
        <v>1</v>
      </c>
      <c r="D21" s="839">
        <v>3</v>
      </c>
      <c r="E21" s="271"/>
    </row>
    <row r="22" spans="1:5" s="112" customFormat="1" ht="15" customHeight="1">
      <c r="A22" s="581">
        <v>10</v>
      </c>
      <c r="B22" s="586" t="s">
        <v>739</v>
      </c>
      <c r="C22" s="150">
        <v>1</v>
      </c>
      <c r="D22" s="839">
        <v>4</v>
      </c>
      <c r="E22" s="271"/>
    </row>
    <row r="23" spans="1:5" s="112" customFormat="1" ht="15" customHeight="1">
      <c r="A23" s="581">
        <v>11</v>
      </c>
      <c r="B23" s="586" t="s">
        <v>900</v>
      </c>
      <c r="C23" s="150">
        <v>2</v>
      </c>
      <c r="D23" s="839">
        <v>2</v>
      </c>
      <c r="E23" s="271"/>
    </row>
    <row r="24" spans="1:5" s="112" customFormat="1" ht="15" customHeight="1">
      <c r="A24" s="581">
        <v>12</v>
      </c>
      <c r="B24" s="586" t="s">
        <v>731</v>
      </c>
      <c r="C24" s="150">
        <v>1</v>
      </c>
      <c r="D24" s="839">
        <v>5</v>
      </c>
      <c r="E24" s="271"/>
    </row>
    <row r="25" spans="1:5" s="112" customFormat="1" ht="15" customHeight="1">
      <c r="A25" s="581">
        <v>13</v>
      </c>
      <c r="B25" s="586" t="s">
        <v>742</v>
      </c>
      <c r="C25" s="150">
        <v>0</v>
      </c>
      <c r="D25" s="839">
        <v>4</v>
      </c>
      <c r="E25" s="271"/>
    </row>
    <row r="26" spans="1:5" s="112" customFormat="1" ht="15" customHeight="1">
      <c r="A26" s="581">
        <v>14</v>
      </c>
      <c r="B26" s="586" t="s">
        <v>740</v>
      </c>
      <c r="C26" s="150">
        <v>0</v>
      </c>
      <c r="D26" s="839">
        <v>2</v>
      </c>
      <c r="E26" s="271"/>
    </row>
    <row r="27" spans="1:7" ht="15" customHeight="1">
      <c r="A27" s="581">
        <v>15</v>
      </c>
      <c r="B27" s="586" t="s">
        <v>734</v>
      </c>
      <c r="C27" s="150">
        <v>2</v>
      </c>
      <c r="D27" s="18">
        <v>4</v>
      </c>
      <c r="E27" s="271"/>
      <c r="G27" s="112"/>
    </row>
    <row r="28" spans="1:7" ht="15" customHeight="1">
      <c r="A28" s="581">
        <v>16</v>
      </c>
      <c r="B28" s="586" t="s">
        <v>741</v>
      </c>
      <c r="C28" s="150">
        <v>6</v>
      </c>
      <c r="D28" s="18">
        <v>8</v>
      </c>
      <c r="E28" s="271"/>
      <c r="G28" s="112"/>
    </row>
    <row r="29" spans="1:7" ht="15" customHeight="1">
      <c r="A29" s="581">
        <v>17</v>
      </c>
      <c r="B29" s="586" t="s">
        <v>733</v>
      </c>
      <c r="C29" s="150">
        <v>1</v>
      </c>
      <c r="D29" s="18">
        <v>3</v>
      </c>
      <c r="E29" s="271"/>
      <c r="G29" s="112"/>
    </row>
    <row r="30" spans="1:7" ht="15" customHeight="1">
      <c r="A30" s="581">
        <v>18</v>
      </c>
      <c r="B30" s="586" t="s">
        <v>735</v>
      </c>
      <c r="C30" s="150">
        <v>0</v>
      </c>
      <c r="D30" s="18">
        <v>3</v>
      </c>
      <c r="E30" s="271"/>
      <c r="G30" s="112"/>
    </row>
    <row r="31" spans="1:7" ht="15" customHeight="1">
      <c r="A31" s="581">
        <v>19</v>
      </c>
      <c r="B31" s="586" t="s">
        <v>732</v>
      </c>
      <c r="C31" s="150">
        <v>2</v>
      </c>
      <c r="D31" s="18">
        <v>4</v>
      </c>
      <c r="E31" s="271"/>
      <c r="G31" s="112"/>
    </row>
    <row r="32" spans="1:7" ht="15" customHeight="1">
      <c r="A32" s="581">
        <v>20</v>
      </c>
      <c r="B32" s="586" t="s">
        <v>836</v>
      </c>
      <c r="C32" s="150">
        <v>0</v>
      </c>
      <c r="D32" s="18">
        <v>2</v>
      </c>
      <c r="E32" s="271"/>
      <c r="G32" s="112"/>
    </row>
    <row r="33" spans="1:7" ht="15" customHeight="1">
      <c r="A33" s="581">
        <v>21</v>
      </c>
      <c r="B33" s="586" t="s">
        <v>729</v>
      </c>
      <c r="C33" s="150">
        <v>1</v>
      </c>
      <c r="D33" s="18">
        <v>5</v>
      </c>
      <c r="E33" s="271"/>
      <c r="G33" s="112"/>
    </row>
    <row r="34" spans="1:7" ht="15" customHeight="1">
      <c r="A34" s="581">
        <v>22</v>
      </c>
      <c r="B34" s="586" t="s">
        <v>746</v>
      </c>
      <c r="C34" s="150">
        <v>3</v>
      </c>
      <c r="D34" s="18">
        <v>14</v>
      </c>
      <c r="E34" s="271"/>
      <c r="G34" s="112"/>
    </row>
    <row r="35" spans="1:7" ht="15" customHeight="1">
      <c r="A35" s="581">
        <v>23</v>
      </c>
      <c r="B35" s="586" t="s">
        <v>738</v>
      </c>
      <c r="C35" s="150">
        <v>0</v>
      </c>
      <c r="D35" s="18">
        <v>6</v>
      </c>
      <c r="E35" s="271"/>
      <c r="G35" s="112"/>
    </row>
    <row r="36" spans="1:7" ht="15" customHeight="1">
      <c r="A36" s="581">
        <v>24</v>
      </c>
      <c r="B36" s="586" t="s">
        <v>730</v>
      </c>
      <c r="C36" s="150">
        <v>1</v>
      </c>
      <c r="D36" s="18">
        <v>8</v>
      </c>
      <c r="E36" s="271"/>
      <c r="G36" s="112"/>
    </row>
    <row r="37" spans="1:7" ht="15" customHeight="1">
      <c r="A37" s="581">
        <v>25</v>
      </c>
      <c r="B37" s="586" t="s">
        <v>736</v>
      </c>
      <c r="C37" s="150">
        <v>1</v>
      </c>
      <c r="D37" s="18">
        <v>6</v>
      </c>
      <c r="E37" s="271"/>
      <c r="G37" s="112"/>
    </row>
    <row r="38" spans="1:7" ht="15" customHeight="1">
      <c r="A38" s="581">
        <v>26</v>
      </c>
      <c r="B38" s="586" t="s">
        <v>744</v>
      </c>
      <c r="C38" s="150">
        <v>1</v>
      </c>
      <c r="D38" s="18">
        <v>4</v>
      </c>
      <c r="E38" s="271"/>
      <c r="G38" s="112"/>
    </row>
    <row r="39" spans="1:7" ht="15" customHeight="1">
      <c r="A39" s="581">
        <v>27</v>
      </c>
      <c r="B39" s="586" t="s">
        <v>745</v>
      </c>
      <c r="C39" s="150">
        <v>0</v>
      </c>
      <c r="D39" s="18">
        <v>8</v>
      </c>
      <c r="E39" s="271"/>
      <c r="G39" s="112"/>
    </row>
    <row r="40" spans="1:5" ht="12.75">
      <c r="A40" s="3" t="s">
        <v>19</v>
      </c>
      <c r="B40" s="19"/>
      <c r="C40" s="150">
        <f>SUM(C13:C39)</f>
        <v>37</v>
      </c>
      <c r="D40" s="18">
        <f>SUM(D13:D39)</f>
        <v>132</v>
      </c>
      <c r="E40" s="29"/>
    </row>
    <row r="41" ht="12.75">
      <c r="E41" s="30"/>
    </row>
    <row r="42" ht="27" customHeight="1">
      <c r="E42" s="11"/>
    </row>
    <row r="43" spans="1:5" ht="12.75">
      <c r="A43" s="35" t="s">
        <v>12</v>
      </c>
      <c r="C43" s="14"/>
      <c r="D43" s="881" t="s">
        <v>13</v>
      </c>
      <c r="E43" s="881"/>
    </row>
    <row r="44" spans="3:5" ht="12.75" customHeight="1">
      <c r="C44" s="83"/>
      <c r="D44" s="881" t="s">
        <v>14</v>
      </c>
      <c r="E44" s="881"/>
    </row>
    <row r="45" spans="3:5" ht="12.75" customHeight="1">
      <c r="C45" s="83"/>
      <c r="D45" s="881" t="s">
        <v>638</v>
      </c>
      <c r="E45" s="881"/>
    </row>
    <row r="46" spans="3:5" ht="12.75">
      <c r="C46" s="14"/>
      <c r="D46" s="898" t="s">
        <v>84</v>
      </c>
      <c r="E46" s="898"/>
    </row>
  </sheetData>
  <sheetProtection/>
  <mergeCells count="10">
    <mergeCell ref="D46:E46"/>
    <mergeCell ref="C3:E3"/>
    <mergeCell ref="A5:E5"/>
    <mergeCell ref="C10:E10"/>
    <mergeCell ref="D9:E9"/>
    <mergeCell ref="B10:B11"/>
    <mergeCell ref="A10:A11"/>
    <mergeCell ref="D43:E43"/>
    <mergeCell ref="D44:E44"/>
    <mergeCell ref="D45:E4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C2:AD61"/>
  <sheetViews>
    <sheetView view="pageBreakPreview" zoomScale="90" zoomScaleSheetLayoutView="90" zoomScalePageLayoutView="0" workbookViewId="0" topLeftCell="A1">
      <selection activeCell="L11" sqref="L11"/>
    </sheetView>
  </sheetViews>
  <sheetFormatPr defaultColWidth="9.140625" defaultRowHeight="12.75"/>
  <sheetData>
    <row r="2" ht="12.75">
      <c r="C2" s="14"/>
    </row>
    <row r="4" spans="3:9" ht="12.75" customHeight="1">
      <c r="C4" s="856"/>
      <c r="D4" s="856"/>
      <c r="E4" s="856"/>
      <c r="F4" s="856"/>
      <c r="G4" s="856"/>
      <c r="H4" s="856"/>
      <c r="I4" s="856"/>
    </row>
    <row r="5" spans="3:9" ht="12.75" customHeight="1">
      <c r="C5" s="856"/>
      <c r="D5" s="856"/>
      <c r="E5" s="856"/>
      <c r="F5" s="856"/>
      <c r="G5" s="856"/>
      <c r="H5" s="856"/>
      <c r="I5" s="856"/>
    </row>
    <row r="6" spans="3:9" ht="12.75" customHeight="1">
      <c r="C6" s="856"/>
      <c r="D6" s="856"/>
      <c r="E6" s="856"/>
      <c r="F6" s="856"/>
      <c r="G6" s="856"/>
      <c r="H6" s="856"/>
      <c r="I6" s="856"/>
    </row>
    <row r="7" spans="3:9" ht="12.75" customHeight="1">
      <c r="C7" s="856"/>
      <c r="D7" s="856"/>
      <c r="E7" s="856"/>
      <c r="F7" s="856"/>
      <c r="G7" s="856"/>
      <c r="H7" s="856"/>
      <c r="I7" s="856"/>
    </row>
    <row r="8" spans="3:9" ht="12.75" customHeight="1">
      <c r="C8" s="856"/>
      <c r="D8" s="856"/>
      <c r="E8" s="856"/>
      <c r="F8" s="856"/>
      <c r="G8" s="856"/>
      <c r="H8" s="856"/>
      <c r="I8" s="856"/>
    </row>
    <row r="9" spans="3:9" ht="12.75" customHeight="1">
      <c r="C9" s="856"/>
      <c r="D9" s="856"/>
      <c r="E9" s="856"/>
      <c r="F9" s="856"/>
      <c r="G9" s="856"/>
      <c r="H9" s="856"/>
      <c r="I9" s="856"/>
    </row>
    <row r="10" spans="3:9" ht="12.75" customHeight="1">
      <c r="C10" s="856"/>
      <c r="D10" s="856"/>
      <c r="E10" s="856"/>
      <c r="F10" s="856"/>
      <c r="G10" s="856"/>
      <c r="H10" s="856"/>
      <c r="I10" s="856"/>
    </row>
    <row r="11" spans="3:30" ht="12.75" customHeight="1">
      <c r="C11" s="856"/>
      <c r="D11" s="856"/>
      <c r="E11" s="856"/>
      <c r="F11" s="856"/>
      <c r="G11" s="856"/>
      <c r="H11" s="856"/>
      <c r="I11" s="856"/>
      <c r="L11">
        <f>SUM(H11:K11)</f>
        <v>0</v>
      </c>
      <c r="AD11" t="e">
        <f>ROUND(L11/G11*100,2)</f>
        <v>#DIV/0!</v>
      </c>
    </row>
    <row r="12" spans="3:30" ht="12.75" customHeight="1">
      <c r="C12" s="856"/>
      <c r="D12" s="856"/>
      <c r="E12" s="856"/>
      <c r="F12" s="856"/>
      <c r="G12" s="856"/>
      <c r="H12" s="856"/>
      <c r="I12" s="856"/>
      <c r="AD12" t="e">
        <f aca="true" t="shared" si="0" ref="AD12:AD38">ROUND(L12/G12*100,2)</f>
        <v>#DIV/0!</v>
      </c>
    </row>
    <row r="13" spans="3:30" ht="12.75" customHeight="1">
      <c r="C13" s="856"/>
      <c r="D13" s="856"/>
      <c r="E13" s="856"/>
      <c r="F13" s="856"/>
      <c r="G13" s="856"/>
      <c r="H13" s="856"/>
      <c r="I13" s="856"/>
      <c r="AD13" t="e">
        <f t="shared" si="0"/>
        <v>#DIV/0!</v>
      </c>
    </row>
    <row r="14" ht="12.75">
      <c r="AD14" t="e">
        <f t="shared" si="0"/>
        <v>#DIV/0!</v>
      </c>
    </row>
    <row r="15" ht="12.75">
      <c r="AD15" t="e">
        <f t="shared" si="0"/>
        <v>#DIV/0!</v>
      </c>
    </row>
    <row r="16" ht="12.75">
      <c r="AD16" t="e">
        <f t="shared" si="0"/>
        <v>#DIV/0!</v>
      </c>
    </row>
    <row r="17" ht="12.75">
      <c r="AD17" t="e">
        <f t="shared" si="0"/>
        <v>#DIV/0!</v>
      </c>
    </row>
    <row r="18" spans="12:30" ht="12.75">
      <c r="L18">
        <f>SUM(H18:K18)</f>
        <v>0</v>
      </c>
      <c r="AD18" t="e">
        <f t="shared" si="0"/>
        <v>#DIV/0!</v>
      </c>
    </row>
    <row r="19" ht="12.75">
      <c r="AD19" t="e">
        <f t="shared" si="0"/>
        <v>#DIV/0!</v>
      </c>
    </row>
    <row r="20" ht="12.75">
      <c r="AD20" t="e">
        <f t="shared" si="0"/>
        <v>#DIV/0!</v>
      </c>
    </row>
    <row r="21" ht="12.75">
      <c r="AD21" t="e">
        <f t="shared" si="0"/>
        <v>#DIV/0!</v>
      </c>
    </row>
    <row r="22" ht="12.75">
      <c r="AD22" t="e">
        <f t="shared" si="0"/>
        <v>#DIV/0!</v>
      </c>
    </row>
    <row r="23" ht="12.75">
      <c r="AD23" t="e">
        <f t="shared" si="0"/>
        <v>#DIV/0!</v>
      </c>
    </row>
    <row r="24" ht="12.75">
      <c r="AD24" t="e">
        <f t="shared" si="0"/>
        <v>#DIV/0!</v>
      </c>
    </row>
    <row r="25" ht="12.75">
      <c r="AD25" t="e">
        <f t="shared" si="0"/>
        <v>#DIV/0!</v>
      </c>
    </row>
    <row r="26" ht="12.75">
      <c r="AD26" t="e">
        <f t="shared" si="0"/>
        <v>#DIV/0!</v>
      </c>
    </row>
    <row r="27" ht="12.75">
      <c r="AD27" t="e">
        <f t="shared" si="0"/>
        <v>#DIV/0!</v>
      </c>
    </row>
    <row r="28" ht="12.75">
      <c r="AD28" t="e">
        <f t="shared" si="0"/>
        <v>#DIV/0!</v>
      </c>
    </row>
    <row r="29" ht="12.75">
      <c r="AD29" t="e">
        <f t="shared" si="0"/>
        <v>#DIV/0!</v>
      </c>
    </row>
    <row r="30" ht="12.75">
      <c r="AD30" t="e">
        <f t="shared" si="0"/>
        <v>#DIV/0!</v>
      </c>
    </row>
    <row r="31" ht="12.75">
      <c r="AD31" t="e">
        <f t="shared" si="0"/>
        <v>#DIV/0!</v>
      </c>
    </row>
    <row r="32" ht="12.75">
      <c r="AD32" t="e">
        <f t="shared" si="0"/>
        <v>#DIV/0!</v>
      </c>
    </row>
    <row r="33" ht="12.75">
      <c r="AD33" t="e">
        <f t="shared" si="0"/>
        <v>#DIV/0!</v>
      </c>
    </row>
    <row r="34" ht="12.75">
      <c r="AD34" t="e">
        <f t="shared" si="0"/>
        <v>#DIV/0!</v>
      </c>
    </row>
    <row r="35" ht="12.75">
      <c r="AD35" t="e">
        <f t="shared" si="0"/>
        <v>#DIV/0!</v>
      </c>
    </row>
    <row r="36" ht="12.75">
      <c r="AD36" t="e">
        <f t="shared" si="0"/>
        <v>#DIV/0!</v>
      </c>
    </row>
    <row r="37" ht="12.75">
      <c r="AD37" t="e">
        <f t="shared" si="0"/>
        <v>#DIV/0!</v>
      </c>
    </row>
    <row r="38" ht="12.75">
      <c r="AD38" t="e">
        <f t="shared" si="0"/>
        <v>#DIV/0!</v>
      </c>
    </row>
    <row r="59" spans="16:18" ht="12.75">
      <c r="P59" s="152"/>
      <c r="Q59" s="152"/>
      <c r="R59" s="152"/>
    </row>
    <row r="61" spans="14:20" ht="21" customHeight="1">
      <c r="N61" s="853"/>
      <c r="O61" s="853"/>
      <c r="P61" s="853"/>
      <c r="Q61" s="853"/>
      <c r="R61" s="853"/>
      <c r="S61" s="853"/>
      <c r="T61" s="853"/>
    </row>
  </sheetData>
  <sheetProtection/>
  <mergeCells count="2">
    <mergeCell ref="C4:I13"/>
    <mergeCell ref="N61:T61"/>
  </mergeCells>
  <printOptions/>
  <pageMargins left="2.19" right="0.7" top="0.75" bottom="0.75" header="0.3" footer="0.3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J45"/>
  <sheetViews>
    <sheetView view="pageBreakPreview" zoomScale="80" zoomScaleSheetLayoutView="80" zoomScalePageLayoutView="0" workbookViewId="0" topLeftCell="A1">
      <selection activeCell="M15" sqref="M15"/>
    </sheetView>
  </sheetViews>
  <sheetFormatPr defaultColWidth="9.140625" defaultRowHeight="12.75"/>
  <cols>
    <col min="1" max="1" width="8.28125" style="0" customWidth="1"/>
    <col min="2" max="2" width="14.140625" style="0" customWidth="1"/>
    <col min="3" max="3" width="14.28125" style="0" customWidth="1"/>
    <col min="4" max="4" width="13.57421875" style="0" customWidth="1"/>
    <col min="5" max="6" width="12.8515625" style="0" customWidth="1"/>
    <col min="7" max="7" width="15.28125" style="0" customWidth="1"/>
    <col min="8" max="8" width="15.421875" style="0" customWidth="1"/>
    <col min="9" max="9" width="13.28125" style="0" customWidth="1"/>
    <col min="10" max="10" width="14.28125" style="0" customWidth="1"/>
  </cols>
  <sheetData>
    <row r="1" spans="8:9" ht="18">
      <c r="H1" s="1032" t="s">
        <v>661</v>
      </c>
      <c r="I1" s="1032"/>
    </row>
    <row r="2" spans="3:10" ht="18">
      <c r="C2" s="958" t="s">
        <v>0</v>
      </c>
      <c r="D2" s="958"/>
      <c r="E2" s="958"/>
      <c r="F2" s="958"/>
      <c r="G2" s="958"/>
      <c r="H2" s="384"/>
      <c r="I2" s="385"/>
      <c r="J2" s="385"/>
    </row>
    <row r="3" spans="2:10" ht="21">
      <c r="B3" s="959" t="s">
        <v>859</v>
      </c>
      <c r="C3" s="959"/>
      <c r="D3" s="959"/>
      <c r="E3" s="959"/>
      <c r="F3" s="959"/>
      <c r="G3" s="959"/>
      <c r="H3" s="386"/>
      <c r="I3" s="386"/>
      <c r="J3" s="386"/>
    </row>
    <row r="4" spans="3:10" ht="21">
      <c r="C4" s="377"/>
      <c r="D4" s="377"/>
      <c r="E4" s="377"/>
      <c r="F4" s="377"/>
      <c r="G4" s="377"/>
      <c r="H4" s="377"/>
      <c r="I4" s="386"/>
      <c r="J4" s="386"/>
    </row>
    <row r="5" spans="3:8" ht="20.25" customHeight="1">
      <c r="C5" s="1033" t="s">
        <v>961</v>
      </c>
      <c r="D5" s="1033"/>
      <c r="E5" s="1033"/>
      <c r="F5" s="1033"/>
      <c r="G5" s="1033"/>
      <c r="H5" s="1033"/>
    </row>
    <row r="6" spans="1:9" ht="20.25" customHeight="1">
      <c r="A6" t="s">
        <v>750</v>
      </c>
      <c r="C6" s="387"/>
      <c r="D6" s="387"/>
      <c r="E6" s="387"/>
      <c r="F6" s="387"/>
      <c r="G6" s="387"/>
      <c r="H6" s="1034"/>
      <c r="I6" s="1034"/>
    </row>
    <row r="7" spans="1:9" ht="15" customHeight="1">
      <c r="A7" s="1028" t="s">
        <v>74</v>
      </c>
      <c r="B7" s="1028" t="s">
        <v>37</v>
      </c>
      <c r="C7" s="1028" t="s">
        <v>412</v>
      </c>
      <c r="D7" s="1028" t="s">
        <v>391</v>
      </c>
      <c r="E7" s="1028" t="s">
        <v>390</v>
      </c>
      <c r="F7" s="1028"/>
      <c r="G7" s="1028"/>
      <c r="H7" s="1028" t="s">
        <v>416</v>
      </c>
      <c r="I7" s="1029" t="s">
        <v>417</v>
      </c>
    </row>
    <row r="8" spans="1:9" ht="12.75" customHeight="1">
      <c r="A8" s="1028"/>
      <c r="B8" s="1028"/>
      <c r="C8" s="1028"/>
      <c r="D8" s="1028"/>
      <c r="E8" s="1028" t="s">
        <v>413</v>
      </c>
      <c r="F8" s="1028" t="s">
        <v>414</v>
      </c>
      <c r="G8" s="1028" t="s">
        <v>415</v>
      </c>
      <c r="H8" s="1028"/>
      <c r="I8" s="1030"/>
    </row>
    <row r="9" spans="1:9" ht="20.25" customHeight="1">
      <c r="A9" s="1028"/>
      <c r="B9" s="1028"/>
      <c r="C9" s="1028"/>
      <c r="D9" s="1028"/>
      <c r="E9" s="1028"/>
      <c r="F9" s="1028"/>
      <c r="G9" s="1028"/>
      <c r="H9" s="1028"/>
      <c r="I9" s="1030"/>
    </row>
    <row r="10" spans="1:9" ht="81" customHeight="1">
      <c r="A10" s="1028"/>
      <c r="B10" s="1028"/>
      <c r="C10" s="1028"/>
      <c r="D10" s="1028"/>
      <c r="E10" s="1028"/>
      <c r="F10" s="1028"/>
      <c r="G10" s="1028"/>
      <c r="H10" s="1028"/>
      <c r="I10" s="1031"/>
    </row>
    <row r="11" spans="1:9" ht="15">
      <c r="A11" s="388">
        <v>1</v>
      </c>
      <c r="B11" s="388">
        <v>2</v>
      </c>
      <c r="C11" s="389">
        <v>3</v>
      </c>
      <c r="D11" s="388">
        <v>4</v>
      </c>
      <c r="E11" s="388">
        <v>5</v>
      </c>
      <c r="F11" s="388">
        <v>6</v>
      </c>
      <c r="G11" s="389">
        <v>7</v>
      </c>
      <c r="H11" s="388">
        <v>8</v>
      </c>
      <c r="I11" s="388">
        <v>9</v>
      </c>
    </row>
    <row r="12" spans="1:9" ht="15">
      <c r="A12" s="581">
        <v>1</v>
      </c>
      <c r="B12" s="586" t="s">
        <v>898</v>
      </c>
      <c r="C12" s="390"/>
      <c r="D12" s="391"/>
      <c r="E12" s="391"/>
      <c r="F12" s="390"/>
      <c r="G12" s="391"/>
      <c r="H12" s="390"/>
      <c r="I12" s="388"/>
    </row>
    <row r="13" spans="1:9" ht="15">
      <c r="A13" s="581">
        <v>2</v>
      </c>
      <c r="B13" s="586" t="s">
        <v>899</v>
      </c>
      <c r="C13" s="390"/>
      <c r="D13" s="391"/>
      <c r="E13" s="391"/>
      <c r="F13" s="390"/>
      <c r="G13" s="391"/>
      <c r="H13" s="390"/>
      <c r="I13" s="388"/>
    </row>
    <row r="14" spans="1:9" ht="15">
      <c r="A14" s="581">
        <v>3</v>
      </c>
      <c r="B14" s="586" t="s">
        <v>839</v>
      </c>
      <c r="C14" s="390"/>
      <c r="D14" s="391"/>
      <c r="E14" s="391"/>
      <c r="F14" s="390"/>
      <c r="G14" s="391"/>
      <c r="H14" s="390"/>
      <c r="I14" s="388"/>
    </row>
    <row r="15" spans="1:9" ht="15">
      <c r="A15" s="581">
        <v>4</v>
      </c>
      <c r="B15" s="586" t="s">
        <v>743</v>
      </c>
      <c r="C15" s="390"/>
      <c r="D15" s="391"/>
      <c r="E15" s="391"/>
      <c r="F15" s="390"/>
      <c r="G15" s="391"/>
      <c r="H15" s="390"/>
      <c r="I15" s="388"/>
    </row>
    <row r="16" spans="1:9" ht="15">
      <c r="A16" s="581">
        <v>5</v>
      </c>
      <c r="B16" s="586" t="s">
        <v>748</v>
      </c>
      <c r="C16" s="390"/>
      <c r="D16" s="391"/>
      <c r="E16" s="391"/>
      <c r="F16" s="390"/>
      <c r="G16" s="391"/>
      <c r="H16" s="390"/>
      <c r="I16" s="388"/>
    </row>
    <row r="17" spans="1:9" ht="15">
      <c r="A17" s="581">
        <v>6</v>
      </c>
      <c r="B17" s="586" t="s">
        <v>747</v>
      </c>
      <c r="C17" s="390"/>
      <c r="D17" s="391"/>
      <c r="E17" s="391"/>
      <c r="F17" s="390"/>
      <c r="G17" s="391"/>
      <c r="H17" s="390"/>
      <c r="I17" s="388"/>
    </row>
    <row r="18" spans="1:9" ht="15">
      <c r="A18" s="581">
        <v>7</v>
      </c>
      <c r="B18" s="586" t="s">
        <v>737</v>
      </c>
      <c r="C18" s="390"/>
      <c r="D18" s="391"/>
      <c r="E18" s="391"/>
      <c r="F18" s="390"/>
      <c r="G18" s="391"/>
      <c r="H18" s="390"/>
      <c r="I18" s="388"/>
    </row>
    <row r="19" spans="1:9" ht="15">
      <c r="A19" s="581">
        <v>8</v>
      </c>
      <c r="B19" s="586" t="s">
        <v>749</v>
      </c>
      <c r="C19" s="390"/>
      <c r="D19" s="391"/>
      <c r="E19" s="391"/>
      <c r="F19" s="390"/>
      <c r="G19" s="391"/>
      <c r="H19" s="390"/>
      <c r="I19" s="388"/>
    </row>
    <row r="20" spans="1:9" ht="15">
      <c r="A20" s="581">
        <v>9</v>
      </c>
      <c r="B20" s="586" t="s">
        <v>834</v>
      </c>
      <c r="C20" s="390"/>
      <c r="D20" s="391"/>
      <c r="E20" s="391"/>
      <c r="F20" s="390"/>
      <c r="G20" s="391"/>
      <c r="H20" s="390"/>
      <c r="I20" s="388"/>
    </row>
    <row r="21" spans="1:9" ht="15">
      <c r="A21" s="581">
        <v>10</v>
      </c>
      <c r="B21" s="586" t="s">
        <v>739</v>
      </c>
      <c r="C21" s="390"/>
      <c r="D21" s="391"/>
      <c r="E21" s="391"/>
      <c r="F21" s="390"/>
      <c r="G21" s="391"/>
      <c r="H21" s="390"/>
      <c r="I21" s="388"/>
    </row>
    <row r="22" spans="1:9" ht="15">
      <c r="A22" s="581">
        <v>11</v>
      </c>
      <c r="B22" s="586" t="s">
        <v>900</v>
      </c>
      <c r="C22" s="390"/>
      <c r="D22" s="391"/>
      <c r="E22" s="391"/>
      <c r="F22" s="390"/>
      <c r="G22" s="391"/>
      <c r="H22" s="390"/>
      <c r="I22" s="388"/>
    </row>
    <row r="23" spans="1:9" ht="15">
      <c r="A23" s="581">
        <v>12</v>
      </c>
      <c r="B23" s="586" t="s">
        <v>731</v>
      </c>
      <c r="C23" s="390"/>
      <c r="D23" s="391"/>
      <c r="E23" s="391"/>
      <c r="F23" s="390"/>
      <c r="G23" s="391"/>
      <c r="H23" s="390"/>
      <c r="I23" s="388"/>
    </row>
    <row r="24" spans="1:9" ht="15">
      <c r="A24" s="581">
        <v>13</v>
      </c>
      <c r="B24" s="586" t="s">
        <v>742</v>
      </c>
      <c r="C24" s="390"/>
      <c r="D24" s="391"/>
      <c r="E24" s="391"/>
      <c r="F24" s="390"/>
      <c r="G24" s="391"/>
      <c r="H24" s="390"/>
      <c r="I24" s="388"/>
    </row>
    <row r="25" spans="1:9" ht="15">
      <c r="A25" s="581">
        <v>14</v>
      </c>
      <c r="B25" s="586" t="s">
        <v>740</v>
      </c>
      <c r="C25" s="390"/>
      <c r="D25" s="391"/>
      <c r="E25" s="391"/>
      <c r="F25" s="390"/>
      <c r="G25" s="391"/>
      <c r="H25" s="390"/>
      <c r="I25" s="388"/>
    </row>
    <row r="26" spans="1:9" ht="15">
      <c r="A26" s="581">
        <v>15</v>
      </c>
      <c r="B26" s="586" t="s">
        <v>734</v>
      </c>
      <c r="C26" s="390"/>
      <c r="D26" s="391"/>
      <c r="E26" s="391"/>
      <c r="F26" s="390"/>
      <c r="G26" s="391"/>
      <c r="H26" s="390"/>
      <c r="I26" s="388"/>
    </row>
    <row r="27" spans="1:9" ht="15">
      <c r="A27" s="581">
        <v>16</v>
      </c>
      <c r="B27" s="586" t="s">
        <v>741</v>
      </c>
      <c r="C27" s="390"/>
      <c r="D27" s="391"/>
      <c r="E27" s="391"/>
      <c r="F27" s="390"/>
      <c r="G27" s="391"/>
      <c r="H27" s="390"/>
      <c r="I27" s="388"/>
    </row>
    <row r="28" spans="1:9" ht="15">
      <c r="A28" s="581">
        <v>17</v>
      </c>
      <c r="B28" s="586" t="s">
        <v>733</v>
      </c>
      <c r="C28" s="390"/>
      <c r="D28" s="391"/>
      <c r="E28" s="391"/>
      <c r="F28" s="390"/>
      <c r="G28" s="391"/>
      <c r="H28" s="390"/>
      <c r="I28" s="388"/>
    </row>
    <row r="29" spans="1:9" ht="15">
      <c r="A29" s="581">
        <v>18</v>
      </c>
      <c r="B29" s="586" t="s">
        <v>735</v>
      </c>
      <c r="C29" s="390"/>
      <c r="D29" s="391"/>
      <c r="E29" s="391"/>
      <c r="F29" s="390"/>
      <c r="G29" s="391"/>
      <c r="H29" s="390"/>
      <c r="I29" s="388"/>
    </row>
    <row r="30" spans="1:9" ht="15">
      <c r="A30" s="581">
        <v>19</v>
      </c>
      <c r="B30" s="586" t="s">
        <v>732</v>
      </c>
      <c r="C30" s="390"/>
      <c r="D30" s="391"/>
      <c r="E30" s="391"/>
      <c r="F30" s="390"/>
      <c r="G30" s="391"/>
      <c r="H30" s="390"/>
      <c r="I30" s="388"/>
    </row>
    <row r="31" spans="1:9" ht="15">
      <c r="A31" s="581">
        <v>20</v>
      </c>
      <c r="B31" s="586" t="s">
        <v>836</v>
      </c>
      <c r="C31" s="390"/>
      <c r="D31" s="391"/>
      <c r="E31" s="391"/>
      <c r="F31" s="390"/>
      <c r="G31" s="391"/>
      <c r="H31" s="390"/>
      <c r="I31" s="388"/>
    </row>
    <row r="32" spans="1:9" ht="15">
      <c r="A32" s="581">
        <v>21</v>
      </c>
      <c r="B32" s="586" t="s">
        <v>729</v>
      </c>
      <c r="C32" s="390"/>
      <c r="D32" s="391"/>
      <c r="E32" s="391"/>
      <c r="F32" s="390"/>
      <c r="G32" s="391"/>
      <c r="H32" s="390"/>
      <c r="I32" s="388"/>
    </row>
    <row r="33" spans="1:9" ht="12.75">
      <c r="A33" s="581">
        <v>22</v>
      </c>
      <c r="B33" s="586" t="s">
        <v>746</v>
      </c>
      <c r="C33" s="390"/>
      <c r="D33" s="392"/>
      <c r="E33" s="392"/>
      <c r="F33" s="392"/>
      <c r="G33" s="392"/>
      <c r="H33" s="392"/>
      <c r="I33" s="9"/>
    </row>
    <row r="34" spans="1:9" ht="12.75">
      <c r="A34" s="581">
        <v>23</v>
      </c>
      <c r="B34" s="586" t="s">
        <v>738</v>
      </c>
      <c r="C34" s="390"/>
      <c r="D34" s="393"/>
      <c r="E34" s="393"/>
      <c r="F34" s="393"/>
      <c r="G34" s="393"/>
      <c r="H34" s="393"/>
      <c r="I34" s="9"/>
    </row>
    <row r="35" spans="1:9" ht="12.75">
      <c r="A35" s="581">
        <v>24</v>
      </c>
      <c r="B35" s="586" t="s">
        <v>730</v>
      </c>
      <c r="C35" s="390"/>
      <c r="D35" s="393"/>
      <c r="E35" s="393"/>
      <c r="F35" s="393"/>
      <c r="G35" s="393"/>
      <c r="H35" s="393"/>
      <c r="I35" s="9"/>
    </row>
    <row r="36" spans="1:9" ht="12.75">
      <c r="A36" s="581">
        <v>25</v>
      </c>
      <c r="B36" s="586" t="s">
        <v>736</v>
      </c>
      <c r="C36" s="390"/>
      <c r="D36" s="393"/>
      <c r="E36" s="393"/>
      <c r="F36" s="393"/>
      <c r="G36" s="393"/>
      <c r="H36" s="393"/>
      <c r="I36" s="9"/>
    </row>
    <row r="37" spans="1:9" ht="12.75">
      <c r="A37" s="581">
        <v>26</v>
      </c>
      <c r="B37" s="586" t="s">
        <v>744</v>
      </c>
      <c r="C37" s="390"/>
      <c r="D37" s="9"/>
      <c r="E37" s="9"/>
      <c r="F37" s="9"/>
      <c r="G37" s="9"/>
      <c r="H37" s="9"/>
      <c r="I37" s="9"/>
    </row>
    <row r="38" spans="1:9" ht="12.75">
      <c r="A38" s="581">
        <v>27</v>
      </c>
      <c r="B38" s="586" t="s">
        <v>745</v>
      </c>
      <c r="C38" s="390"/>
      <c r="D38" s="9"/>
      <c r="E38" s="9"/>
      <c r="F38" s="9"/>
      <c r="G38" s="9"/>
      <c r="H38" s="9"/>
      <c r="I38" s="9"/>
    </row>
    <row r="39" spans="1:9" ht="12.75">
      <c r="A39" s="29" t="s">
        <v>19</v>
      </c>
      <c r="B39" s="9"/>
      <c r="C39" s="9"/>
      <c r="D39" s="9"/>
      <c r="E39" s="9"/>
      <c r="F39" s="9"/>
      <c r="G39" s="9"/>
      <c r="H39" s="9"/>
      <c r="I39" s="9"/>
    </row>
    <row r="41" ht="37.5" customHeight="1"/>
    <row r="42" spans="1:9" ht="12.75">
      <c r="A42" s="394"/>
      <c r="B42" s="394"/>
      <c r="C42" s="394"/>
      <c r="D42" s="394"/>
      <c r="G42" s="881" t="s">
        <v>13</v>
      </c>
      <c r="H42" s="881"/>
      <c r="I42" s="881"/>
    </row>
    <row r="43" spans="1:9" ht="15" customHeight="1">
      <c r="A43" s="394"/>
      <c r="B43" s="394"/>
      <c r="C43" s="394"/>
      <c r="G43" s="881" t="s">
        <v>14</v>
      </c>
      <c r="H43" s="881"/>
      <c r="I43" s="881"/>
    </row>
    <row r="44" spans="1:9" ht="15" customHeight="1">
      <c r="A44" s="394"/>
      <c r="B44" s="394"/>
      <c r="C44" s="394"/>
      <c r="G44" s="881" t="s">
        <v>637</v>
      </c>
      <c r="H44" s="881"/>
      <c r="I44" s="881"/>
    </row>
    <row r="45" spans="1:9" ht="12.75">
      <c r="A45" s="394" t="s">
        <v>12</v>
      </c>
      <c r="C45" s="394"/>
      <c r="G45" s="898" t="s">
        <v>84</v>
      </c>
      <c r="H45" s="898"/>
      <c r="I45" s="898"/>
    </row>
  </sheetData>
  <sheetProtection/>
  <mergeCells count="19">
    <mergeCell ref="A7:A10"/>
    <mergeCell ref="B7:B10"/>
    <mergeCell ref="C7:C10"/>
    <mergeCell ref="D7:D10"/>
    <mergeCell ref="H1:I1"/>
    <mergeCell ref="C2:G2"/>
    <mergeCell ref="B3:G3"/>
    <mergeCell ref="C5:H5"/>
    <mergeCell ref="H6:I6"/>
    <mergeCell ref="G42:I42"/>
    <mergeCell ref="G43:I43"/>
    <mergeCell ref="G44:I44"/>
    <mergeCell ref="G45:I45"/>
    <mergeCell ref="E7:G7"/>
    <mergeCell ref="H7:H10"/>
    <mergeCell ref="I7:I10"/>
    <mergeCell ref="E8:E10"/>
    <mergeCell ref="F8:F10"/>
    <mergeCell ref="G8:G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M41"/>
  <sheetViews>
    <sheetView view="pageBreakPreview" zoomScale="68" zoomScaleSheetLayoutView="68" zoomScalePageLayoutView="0" workbookViewId="0" topLeftCell="A7">
      <selection activeCell="Q30" sqref="Q30"/>
    </sheetView>
  </sheetViews>
  <sheetFormatPr defaultColWidth="9.140625" defaultRowHeight="12.75"/>
  <cols>
    <col min="2" max="2" width="19.421875" style="0" customWidth="1"/>
    <col min="6" max="6" width="11.57421875" style="0" customWidth="1"/>
    <col min="7" max="7" width="10.421875" style="0" customWidth="1"/>
    <col min="8" max="8" width="20.28125" style="0" customWidth="1"/>
    <col min="9" max="9" width="10.421875" style="0" customWidth="1"/>
    <col min="10" max="10" width="22.8515625" style="0" customWidth="1"/>
  </cols>
  <sheetData>
    <row r="1" spans="1:10" ht="18">
      <c r="A1" s="958" t="s">
        <v>0</v>
      </c>
      <c r="B1" s="958"/>
      <c r="C1" s="958"/>
      <c r="D1" s="958"/>
      <c r="E1" s="958"/>
      <c r="F1" s="958"/>
      <c r="G1" s="958"/>
      <c r="H1" s="958"/>
      <c r="I1" s="385"/>
      <c r="J1" s="397" t="s">
        <v>663</v>
      </c>
    </row>
    <row r="2" spans="1:10" ht="21">
      <c r="A2" s="959" t="s">
        <v>859</v>
      </c>
      <c r="B2" s="959"/>
      <c r="C2" s="959"/>
      <c r="D2" s="959"/>
      <c r="E2" s="959"/>
      <c r="F2" s="959"/>
      <c r="G2" s="959"/>
      <c r="H2" s="959"/>
      <c r="I2" s="959"/>
      <c r="J2" s="959"/>
    </row>
    <row r="3" spans="1:9" ht="15">
      <c r="A3" s="191"/>
      <c r="B3" s="191"/>
      <c r="C3" s="191"/>
      <c r="D3" s="191"/>
      <c r="E3" s="191"/>
      <c r="F3" s="191"/>
      <c r="G3" s="191"/>
      <c r="H3" s="191"/>
      <c r="I3" s="191"/>
    </row>
    <row r="4" spans="1:9" ht="18">
      <c r="A4" s="958" t="s">
        <v>664</v>
      </c>
      <c r="B4" s="958"/>
      <c r="C4" s="958"/>
      <c r="D4" s="958"/>
      <c r="E4" s="958"/>
      <c r="F4" s="958"/>
      <c r="G4" s="958"/>
      <c r="H4" s="958"/>
      <c r="I4" s="958"/>
    </row>
    <row r="5" spans="1:9" ht="15">
      <c r="A5" s="192" t="s">
        <v>763</v>
      </c>
      <c r="B5" s="192"/>
      <c r="C5" s="192"/>
      <c r="D5" s="192"/>
      <c r="E5" s="192"/>
      <c r="F5" s="192"/>
      <c r="G5" s="192"/>
      <c r="H5" s="192"/>
      <c r="I5" s="191" t="s">
        <v>906</v>
      </c>
    </row>
    <row r="6" spans="1:10" ht="25.5" customHeight="1">
      <c r="A6" s="1036" t="s">
        <v>2</v>
      </c>
      <c r="B6" s="1036" t="s">
        <v>392</v>
      </c>
      <c r="C6" s="871" t="s">
        <v>393</v>
      </c>
      <c r="D6" s="871"/>
      <c r="E6" s="871"/>
      <c r="F6" s="1037" t="s">
        <v>396</v>
      </c>
      <c r="G6" s="1038"/>
      <c r="H6" s="1038"/>
      <c r="I6" s="1039"/>
      <c r="J6" s="1040" t="s">
        <v>400</v>
      </c>
    </row>
    <row r="7" spans="1:10" ht="63" customHeight="1">
      <c r="A7" s="1036"/>
      <c r="B7" s="1036"/>
      <c r="C7" s="38" t="s">
        <v>102</v>
      </c>
      <c r="D7" s="38" t="s">
        <v>394</v>
      </c>
      <c r="E7" s="38" t="s">
        <v>395</v>
      </c>
      <c r="F7" s="383" t="s">
        <v>397</v>
      </c>
      <c r="G7" s="383" t="s">
        <v>398</v>
      </c>
      <c r="H7" s="383" t="s">
        <v>399</v>
      </c>
      <c r="I7" s="383" t="s">
        <v>47</v>
      </c>
      <c r="J7" s="1041"/>
    </row>
    <row r="8" spans="1:10" ht="15">
      <c r="A8" s="194" t="s">
        <v>282</v>
      </c>
      <c r="B8" s="194" t="s">
        <v>283</v>
      </c>
      <c r="C8" s="194" t="s">
        <v>284</v>
      </c>
      <c r="D8" s="194" t="s">
        <v>285</v>
      </c>
      <c r="E8" s="194" t="s">
        <v>286</v>
      </c>
      <c r="F8" s="194" t="s">
        <v>289</v>
      </c>
      <c r="G8" s="194" t="s">
        <v>298</v>
      </c>
      <c r="H8" s="194" t="s">
        <v>299</v>
      </c>
      <c r="I8" s="194" t="s">
        <v>300</v>
      </c>
      <c r="J8" s="194" t="s">
        <v>320</v>
      </c>
    </row>
    <row r="9" spans="1:10" ht="15">
      <c r="A9" s="581">
        <v>1</v>
      </c>
      <c r="B9" s="586" t="s">
        <v>898</v>
      </c>
      <c r="C9" s="194"/>
      <c r="D9" s="194"/>
      <c r="E9" s="194"/>
      <c r="F9" s="194"/>
      <c r="G9" s="194"/>
      <c r="H9" s="194"/>
      <c r="I9" s="194"/>
      <c r="J9" s="194"/>
    </row>
    <row r="10" spans="1:10" ht="15">
      <c r="A10" s="581">
        <v>2</v>
      </c>
      <c r="B10" s="586" t="s">
        <v>899</v>
      </c>
      <c r="C10" s="194"/>
      <c r="D10" s="194"/>
      <c r="E10" s="194"/>
      <c r="F10" s="194"/>
      <c r="G10" s="194"/>
      <c r="H10" s="194"/>
      <c r="I10" s="194"/>
      <c r="J10" s="194"/>
    </row>
    <row r="11" spans="1:10" ht="15">
      <c r="A11" s="581">
        <v>3</v>
      </c>
      <c r="B11" s="586" t="s">
        <v>839</v>
      </c>
      <c r="C11" s="194"/>
      <c r="D11" s="194"/>
      <c r="E11" s="194"/>
      <c r="F11" s="194"/>
      <c r="G11" s="194"/>
      <c r="H11" s="194"/>
      <c r="I11" s="194"/>
      <c r="J11" s="194"/>
    </row>
    <row r="12" spans="1:10" ht="15">
      <c r="A12" s="581">
        <v>4</v>
      </c>
      <c r="B12" s="586" t="s">
        <v>743</v>
      </c>
      <c r="C12" s="194"/>
      <c r="D12" s="194"/>
      <c r="E12" s="194"/>
      <c r="F12" s="194"/>
      <c r="G12" s="194"/>
      <c r="H12" s="194"/>
      <c r="I12" s="194"/>
      <c r="J12" s="194"/>
    </row>
    <row r="13" spans="1:10" ht="15">
      <c r="A13" s="581">
        <v>5</v>
      </c>
      <c r="B13" s="586" t="s">
        <v>748</v>
      </c>
      <c r="C13" s="194"/>
      <c r="D13" s="194"/>
      <c r="E13" s="194"/>
      <c r="F13" s="194"/>
      <c r="G13" s="194"/>
      <c r="H13" s="194"/>
      <c r="I13" s="194"/>
      <c r="J13" s="194"/>
    </row>
    <row r="14" spans="1:10" ht="15">
      <c r="A14" s="581">
        <v>6</v>
      </c>
      <c r="B14" s="586" t="s">
        <v>747</v>
      </c>
      <c r="C14" s="194"/>
      <c r="D14" s="194"/>
      <c r="E14" s="194"/>
      <c r="F14" s="194"/>
      <c r="G14" s="194"/>
      <c r="H14" s="194"/>
      <c r="I14" s="194"/>
      <c r="J14" s="194"/>
    </row>
    <row r="15" spans="1:10" ht="15">
      <c r="A15" s="581">
        <v>7</v>
      </c>
      <c r="B15" s="586" t="s">
        <v>737</v>
      </c>
      <c r="C15" s="194"/>
      <c r="D15" s="194"/>
      <c r="E15" s="194"/>
      <c r="F15" s="194"/>
      <c r="G15" s="194"/>
      <c r="H15" s="194"/>
      <c r="I15" s="194"/>
      <c r="J15" s="194"/>
    </row>
    <row r="16" spans="1:10" ht="15">
      <c r="A16" s="581">
        <v>8</v>
      </c>
      <c r="B16" s="586" t="s">
        <v>749</v>
      </c>
      <c r="C16" s="194"/>
      <c r="D16" s="194"/>
      <c r="E16" s="194"/>
      <c r="F16" s="194"/>
      <c r="G16" s="194"/>
      <c r="H16" s="194"/>
      <c r="I16" s="194"/>
      <c r="J16" s="194"/>
    </row>
    <row r="17" spans="1:10" ht="15">
      <c r="A17" s="581">
        <v>9</v>
      </c>
      <c r="B17" s="586" t="s">
        <v>834</v>
      </c>
      <c r="C17" s="194"/>
      <c r="D17" s="194"/>
      <c r="E17" s="194"/>
      <c r="F17" s="194"/>
      <c r="G17" s="194"/>
      <c r="H17" s="194"/>
      <c r="I17" s="194"/>
      <c r="J17" s="194"/>
    </row>
    <row r="18" spans="1:10" ht="15">
      <c r="A18" s="581">
        <v>10</v>
      </c>
      <c r="B18" s="586" t="s">
        <v>739</v>
      </c>
      <c r="C18" s="194"/>
      <c r="D18" s="194"/>
      <c r="E18" s="194"/>
      <c r="F18" s="194"/>
      <c r="G18" s="194"/>
      <c r="H18" s="194"/>
      <c r="I18" s="194"/>
      <c r="J18" s="194"/>
    </row>
    <row r="19" spans="1:10" ht="15">
      <c r="A19" s="581">
        <v>11</v>
      </c>
      <c r="B19" s="586" t="s">
        <v>900</v>
      </c>
      <c r="C19" s="194"/>
      <c r="D19" s="194"/>
      <c r="E19" s="194"/>
      <c r="F19" s="194"/>
      <c r="G19" s="194"/>
      <c r="H19" s="194"/>
      <c r="I19" s="194"/>
      <c r="J19" s="194"/>
    </row>
    <row r="20" spans="1:10" ht="15">
      <c r="A20" s="581">
        <v>12</v>
      </c>
      <c r="B20" s="586" t="s">
        <v>731</v>
      </c>
      <c r="C20" s="194"/>
      <c r="D20" s="194"/>
      <c r="E20" s="194"/>
      <c r="F20" s="194"/>
      <c r="G20" s="194"/>
      <c r="H20" s="194"/>
      <c r="I20" s="194"/>
      <c r="J20" s="194"/>
    </row>
    <row r="21" spans="1:10" ht="15">
      <c r="A21" s="581">
        <v>13</v>
      </c>
      <c r="B21" s="586" t="s">
        <v>742</v>
      </c>
      <c r="C21" s="194"/>
      <c r="D21" s="194"/>
      <c r="E21" s="194"/>
      <c r="F21" s="194"/>
      <c r="G21" s="194"/>
      <c r="H21" s="194"/>
      <c r="I21" s="194"/>
      <c r="J21" s="194"/>
    </row>
    <row r="22" spans="1:10" ht="15">
      <c r="A22" s="581">
        <v>14</v>
      </c>
      <c r="B22" s="586" t="s">
        <v>740</v>
      </c>
      <c r="C22" s="194"/>
      <c r="D22" s="194"/>
      <c r="E22" s="194"/>
      <c r="F22" s="194"/>
      <c r="G22" s="194"/>
      <c r="H22" s="194"/>
      <c r="I22" s="194"/>
      <c r="J22" s="194"/>
    </row>
    <row r="23" spans="1:10" ht="15">
      <c r="A23" s="581">
        <v>15</v>
      </c>
      <c r="B23" s="586" t="s">
        <v>734</v>
      </c>
      <c r="C23" s="194"/>
      <c r="D23" s="194"/>
      <c r="E23" s="194"/>
      <c r="F23" s="194"/>
      <c r="G23" s="194"/>
      <c r="H23" s="194"/>
      <c r="I23" s="194"/>
      <c r="J23" s="194"/>
    </row>
    <row r="24" spans="1:10" ht="12.75">
      <c r="A24" s="581">
        <v>16</v>
      </c>
      <c r="B24" s="586" t="s">
        <v>741</v>
      </c>
      <c r="C24" s="9"/>
      <c r="D24" s="9"/>
      <c r="E24" s="9"/>
      <c r="F24" s="9"/>
      <c r="G24" s="9"/>
      <c r="H24" s="9"/>
      <c r="I24" s="9"/>
      <c r="J24" s="9"/>
    </row>
    <row r="25" spans="1:10" ht="12.75">
      <c r="A25" s="581">
        <v>17</v>
      </c>
      <c r="B25" s="586" t="s">
        <v>733</v>
      </c>
      <c r="C25" s="9"/>
      <c r="D25" s="9"/>
      <c r="E25" s="9"/>
      <c r="F25" s="9"/>
      <c r="G25" s="9"/>
      <c r="H25" s="9"/>
      <c r="I25" s="9"/>
      <c r="J25" s="9"/>
    </row>
    <row r="26" spans="1:10" ht="12.75">
      <c r="A26" s="581">
        <v>18</v>
      </c>
      <c r="B26" s="586" t="s">
        <v>735</v>
      </c>
      <c r="C26" s="9"/>
      <c r="D26" s="9"/>
      <c r="E26" s="9"/>
      <c r="F26" s="9"/>
      <c r="G26" s="9"/>
      <c r="H26" s="9"/>
      <c r="I26" s="9"/>
      <c r="J26" s="9"/>
    </row>
    <row r="27" spans="1:10" ht="12.75">
      <c r="A27" s="581">
        <v>19</v>
      </c>
      <c r="B27" s="586" t="s">
        <v>732</v>
      </c>
      <c r="C27" s="9"/>
      <c r="D27" s="9"/>
      <c r="E27" s="9"/>
      <c r="F27" s="9"/>
      <c r="G27" s="9"/>
      <c r="H27" s="9"/>
      <c r="I27" s="9"/>
      <c r="J27" s="9"/>
    </row>
    <row r="28" spans="1:13" ht="12.75">
      <c r="A28" s="581">
        <v>20</v>
      </c>
      <c r="B28" s="586" t="s">
        <v>836</v>
      </c>
      <c r="C28" s="9"/>
      <c r="D28" s="9"/>
      <c r="E28" s="9"/>
      <c r="F28" s="9"/>
      <c r="G28" s="9"/>
      <c r="H28" s="9"/>
      <c r="I28" s="9"/>
      <c r="J28" s="9"/>
      <c r="M28" s="15" t="s">
        <v>401</v>
      </c>
    </row>
    <row r="29" spans="1:10" ht="12.75">
      <c r="A29" s="581">
        <v>21</v>
      </c>
      <c r="B29" s="586" t="s">
        <v>729</v>
      </c>
      <c r="C29" s="9"/>
      <c r="D29" s="9"/>
      <c r="E29" s="9"/>
      <c r="F29" s="9"/>
      <c r="G29" s="9"/>
      <c r="H29" s="9"/>
      <c r="I29" s="9"/>
      <c r="J29" s="9"/>
    </row>
    <row r="30" spans="1:10" ht="12.75">
      <c r="A30" s="581">
        <v>22</v>
      </c>
      <c r="B30" s="586" t="s">
        <v>746</v>
      </c>
      <c r="C30" s="9"/>
      <c r="D30" s="9"/>
      <c r="E30" s="9"/>
      <c r="F30" s="9"/>
      <c r="G30" s="9"/>
      <c r="H30" s="9"/>
      <c r="I30" s="9"/>
      <c r="J30" s="9"/>
    </row>
    <row r="31" spans="1:10" ht="12.75">
      <c r="A31" s="581">
        <v>23</v>
      </c>
      <c r="B31" s="586" t="s">
        <v>738</v>
      </c>
      <c r="C31" s="9"/>
      <c r="D31" s="9"/>
      <c r="E31" s="9"/>
      <c r="F31" s="9"/>
      <c r="G31" s="9"/>
      <c r="H31" s="9"/>
      <c r="I31" s="9"/>
      <c r="J31" s="9"/>
    </row>
    <row r="32" spans="1:10" ht="12.75">
      <c r="A32" s="581">
        <v>24</v>
      </c>
      <c r="B32" s="586" t="s">
        <v>730</v>
      </c>
      <c r="C32" s="9"/>
      <c r="D32" s="9"/>
      <c r="E32" s="9"/>
      <c r="F32" s="9"/>
      <c r="G32" s="9"/>
      <c r="H32" s="9"/>
      <c r="I32" s="9"/>
      <c r="J32" s="9"/>
    </row>
    <row r="33" spans="1:10" ht="12.75">
      <c r="A33" s="581">
        <v>25</v>
      </c>
      <c r="B33" s="586" t="s">
        <v>736</v>
      </c>
      <c r="C33" s="9"/>
      <c r="D33" s="9"/>
      <c r="E33" s="9"/>
      <c r="F33" s="9"/>
      <c r="G33" s="9"/>
      <c r="H33" s="9"/>
      <c r="I33" s="9"/>
      <c r="J33" s="9"/>
    </row>
    <row r="34" spans="1:10" ht="12.75">
      <c r="A34" s="581">
        <v>26</v>
      </c>
      <c r="B34" s="586" t="s">
        <v>744</v>
      </c>
      <c r="C34" s="9"/>
      <c r="D34" s="9"/>
      <c r="E34" s="9"/>
      <c r="F34" s="9"/>
      <c r="G34" s="9"/>
      <c r="H34" s="9"/>
      <c r="I34" s="9"/>
      <c r="J34" s="9"/>
    </row>
    <row r="35" spans="1:10" ht="12.75" customHeight="1">
      <c r="A35" s="581">
        <v>27</v>
      </c>
      <c r="B35" s="586" t="s">
        <v>745</v>
      </c>
      <c r="C35" s="402"/>
      <c r="D35" s="402"/>
      <c r="E35" s="9"/>
      <c r="F35" s="9"/>
      <c r="G35" s="9"/>
      <c r="H35" s="9"/>
      <c r="I35" s="9"/>
      <c r="J35" s="9"/>
    </row>
    <row r="36" spans="1:4" ht="12.75" customHeight="1">
      <c r="A36" s="394"/>
      <c r="B36" s="394" t="s">
        <v>19</v>
      </c>
      <c r="C36" s="394"/>
      <c r="D36" s="394"/>
    </row>
    <row r="37" spans="1:4" ht="48" customHeight="1">
      <c r="A37" s="394"/>
      <c r="B37" s="394"/>
      <c r="C37" s="394"/>
      <c r="D37" s="394"/>
    </row>
    <row r="38" spans="1:10" ht="12" customHeight="1">
      <c r="A38" s="394"/>
      <c r="B38" s="394"/>
      <c r="C38" s="394"/>
      <c r="D38" s="394"/>
      <c r="H38" s="1035" t="s">
        <v>13</v>
      </c>
      <c r="I38" s="1035"/>
      <c r="J38" s="1035"/>
    </row>
    <row r="39" spans="1:10" ht="12.75" customHeight="1">
      <c r="A39" s="394"/>
      <c r="B39" s="394"/>
      <c r="C39" s="394"/>
      <c r="D39" s="394"/>
      <c r="H39" s="1035" t="s">
        <v>14</v>
      </c>
      <c r="I39" s="1035"/>
      <c r="J39" s="1035"/>
    </row>
    <row r="40" spans="1:10" ht="12.75" customHeight="1">
      <c r="A40" s="394"/>
      <c r="B40" s="394"/>
      <c r="C40" s="394"/>
      <c r="D40" s="394"/>
      <c r="H40" s="1035" t="s">
        <v>751</v>
      </c>
      <c r="I40" s="1035"/>
      <c r="J40" s="1035"/>
    </row>
    <row r="41" spans="1:10" ht="12.75">
      <c r="A41" s="394" t="s">
        <v>12</v>
      </c>
      <c r="C41" s="394"/>
      <c r="D41" s="394"/>
      <c r="H41" s="411" t="s">
        <v>84</v>
      </c>
      <c r="I41" s="411"/>
      <c r="J41" s="411"/>
    </row>
  </sheetData>
  <sheetProtection/>
  <mergeCells count="11">
    <mergeCell ref="J6:J7"/>
    <mergeCell ref="H40:J40"/>
    <mergeCell ref="H38:J38"/>
    <mergeCell ref="H39:J39"/>
    <mergeCell ref="A1:H1"/>
    <mergeCell ref="A2:J2"/>
    <mergeCell ref="A4:I4"/>
    <mergeCell ref="A6:A7"/>
    <mergeCell ref="B6:B7"/>
    <mergeCell ref="C6:E6"/>
    <mergeCell ref="F6:I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H32"/>
  <sheetViews>
    <sheetView view="pageBreakPreview" zoomScale="80" zoomScaleSheetLayoutView="80" zoomScalePageLayoutView="0" workbookViewId="0" topLeftCell="A1">
      <selection activeCell="M26" sqref="M26"/>
    </sheetView>
  </sheetViews>
  <sheetFormatPr defaultColWidth="9.140625" defaultRowHeight="12.75"/>
  <cols>
    <col min="1" max="1" width="5.28125" style="394" customWidth="1"/>
    <col min="2" max="2" width="8.57421875" style="394" customWidth="1"/>
    <col min="3" max="3" width="32.140625" style="394" customWidth="1"/>
    <col min="4" max="4" width="15.140625" style="394" customWidth="1"/>
    <col min="5" max="6" width="11.7109375" style="394" customWidth="1"/>
    <col min="7" max="7" width="13.7109375" style="394" customWidth="1"/>
    <col min="8" max="8" width="11.28125" style="394" customWidth="1"/>
    <col min="9" max="16384" width="9.140625" style="394" customWidth="1"/>
  </cols>
  <sheetData>
    <row r="1" ht="12.75">
      <c r="A1" s="394" t="s">
        <v>11</v>
      </c>
    </row>
    <row r="2" spans="1:7" s="398" customFormat="1" ht="15.75">
      <c r="A2" s="1042" t="s">
        <v>0</v>
      </c>
      <c r="B2" s="1042"/>
      <c r="C2" s="1042"/>
      <c r="D2" s="1042"/>
      <c r="E2" s="1042"/>
      <c r="F2" s="1042"/>
      <c r="G2" s="1042"/>
    </row>
    <row r="3" spans="1:7" s="398" customFormat="1" ht="20.25" customHeight="1">
      <c r="A3" s="1043" t="s">
        <v>859</v>
      </c>
      <c r="B3" s="1043"/>
      <c r="C3" s="1043"/>
      <c r="D3" s="1043"/>
      <c r="E3" s="1043"/>
      <c r="F3" s="1043"/>
      <c r="G3" s="1043"/>
    </row>
    <row r="5" spans="1:7" s="398" customFormat="1" ht="15.75">
      <c r="A5" s="1044" t="s">
        <v>665</v>
      </c>
      <c r="B5" s="1044"/>
      <c r="C5" s="1044"/>
      <c r="D5" s="1044"/>
      <c r="E5" s="1044"/>
      <c r="F5" s="1044"/>
      <c r="G5" s="1044"/>
    </row>
    <row r="7" spans="1:8" ht="12.75">
      <c r="A7" s="1050" t="s">
        <v>636</v>
      </c>
      <c r="B7" s="1050"/>
      <c r="C7" s="1050"/>
      <c r="D7" s="198"/>
      <c r="E7" s="198"/>
      <c r="F7" s="198"/>
      <c r="G7" s="198"/>
      <c r="H7" s="196"/>
    </row>
    <row r="8" spans="1:8" ht="12.75">
      <c r="A8" s="196"/>
      <c r="B8" s="196"/>
      <c r="C8" s="196"/>
      <c r="D8" s="196"/>
      <c r="E8" s="196"/>
      <c r="F8" s="196"/>
      <c r="G8" s="196"/>
      <c r="H8" s="196"/>
    </row>
    <row r="9" spans="1:8" ht="13.5" customHeight="1">
      <c r="A9" s="205"/>
      <c r="B9" s="205"/>
      <c r="C9" s="205"/>
      <c r="D9" s="205"/>
      <c r="E9" s="205"/>
      <c r="F9" s="205"/>
      <c r="G9" s="205"/>
      <c r="H9" s="196"/>
    </row>
    <row r="10" spans="1:8" s="399" customFormat="1" ht="15">
      <c r="A10" s="196"/>
      <c r="B10" s="196"/>
      <c r="C10" s="196"/>
      <c r="D10" s="196"/>
      <c r="E10" s="196"/>
      <c r="F10" s="191" t="s">
        <v>906</v>
      </c>
      <c r="G10"/>
      <c r="H10" s="122"/>
    </row>
    <row r="11" spans="1:8" s="399" customFormat="1" ht="39.75" customHeight="1">
      <c r="A11" s="200"/>
      <c r="B11" s="1045" t="s">
        <v>292</v>
      </c>
      <c r="C11" s="1045" t="s">
        <v>293</v>
      </c>
      <c r="D11" s="1047" t="s">
        <v>294</v>
      </c>
      <c r="E11" s="1048"/>
      <c r="F11" s="1048"/>
      <c r="G11" s="1049"/>
      <c r="H11" s="1045" t="s">
        <v>78</v>
      </c>
    </row>
    <row r="12" spans="1:8" s="399" customFormat="1" ht="30" customHeight="1">
      <c r="A12" s="201"/>
      <c r="B12" s="1046"/>
      <c r="C12" s="1046"/>
      <c r="D12" s="206" t="s">
        <v>295</v>
      </c>
      <c r="E12" s="206" t="s">
        <v>296</v>
      </c>
      <c r="F12" s="206" t="s">
        <v>297</v>
      </c>
      <c r="G12" s="206" t="s">
        <v>19</v>
      </c>
      <c r="H12" s="1046"/>
    </row>
    <row r="13" spans="1:8" s="399" customFormat="1" ht="15">
      <c r="A13" s="201"/>
      <c r="B13" s="207" t="s">
        <v>282</v>
      </c>
      <c r="C13" s="207" t="s">
        <v>283</v>
      </c>
      <c r="D13" s="207" t="s">
        <v>284</v>
      </c>
      <c r="E13" s="207" t="s">
        <v>285</v>
      </c>
      <c r="F13" s="207" t="s">
        <v>286</v>
      </c>
      <c r="G13" s="207" t="s">
        <v>287</v>
      </c>
      <c r="H13" s="207">
        <v>7</v>
      </c>
    </row>
    <row r="14" spans="1:8" s="400" customFormat="1" ht="15" customHeight="1">
      <c r="A14" s="208"/>
      <c r="B14" s="209" t="s">
        <v>29</v>
      </c>
      <c r="C14" s="1051" t="s">
        <v>301</v>
      </c>
      <c r="D14" s="1052"/>
      <c r="E14" s="1052"/>
      <c r="F14" s="1052"/>
      <c r="G14" s="1052"/>
      <c r="H14" s="1053"/>
    </row>
    <row r="15" spans="1:8" s="401" customFormat="1" ht="14.25">
      <c r="A15" s="211"/>
      <c r="B15" s="210"/>
      <c r="C15" s="351" t="s">
        <v>621</v>
      </c>
      <c r="D15" s="352">
        <v>1</v>
      </c>
      <c r="E15" s="352" t="s">
        <v>7</v>
      </c>
      <c r="F15" s="352" t="s">
        <v>7</v>
      </c>
      <c r="G15" s="353">
        <f>SUM(D15:F15)</f>
        <v>1</v>
      </c>
      <c r="H15" s="210"/>
    </row>
    <row r="16" spans="1:8" ht="14.25">
      <c r="A16" s="202"/>
      <c r="B16" s="141"/>
      <c r="C16" s="354" t="s">
        <v>622</v>
      </c>
      <c r="D16" s="352">
        <v>1</v>
      </c>
      <c r="E16" s="352" t="s">
        <v>7</v>
      </c>
      <c r="F16" s="352" t="s">
        <v>7</v>
      </c>
      <c r="G16" s="353">
        <f aca="true" t="shared" si="0" ref="G16:G26">SUM(D16:F16)</f>
        <v>1</v>
      </c>
      <c r="H16" s="141"/>
    </row>
    <row r="17" spans="1:8" ht="14.25">
      <c r="A17" s="202"/>
      <c r="B17" s="141"/>
      <c r="C17" s="354" t="s">
        <v>623</v>
      </c>
      <c r="D17" s="352">
        <v>1</v>
      </c>
      <c r="E17" s="352">
        <v>27</v>
      </c>
      <c r="F17" s="352" t="s">
        <v>7</v>
      </c>
      <c r="G17" s="353">
        <f t="shared" si="0"/>
        <v>28</v>
      </c>
      <c r="H17" s="141"/>
    </row>
    <row r="18" spans="1:8" s="403" customFormat="1" ht="14.25">
      <c r="A18" s="202"/>
      <c r="B18" s="141"/>
      <c r="C18" s="354" t="s">
        <v>624</v>
      </c>
      <c r="D18" s="352">
        <v>2</v>
      </c>
      <c r="E18" s="352">
        <v>27</v>
      </c>
      <c r="F18" s="352">
        <v>146</v>
      </c>
      <c r="G18" s="353">
        <f t="shared" si="0"/>
        <v>175</v>
      </c>
      <c r="H18" s="141"/>
    </row>
    <row r="19" spans="1:8" s="403" customFormat="1" ht="14.25">
      <c r="A19" s="202"/>
      <c r="B19" s="141"/>
      <c r="C19" s="354" t="s">
        <v>625</v>
      </c>
      <c r="D19" s="352">
        <v>1</v>
      </c>
      <c r="E19" s="352">
        <v>27</v>
      </c>
      <c r="F19" s="352">
        <v>146</v>
      </c>
      <c r="G19" s="353">
        <f t="shared" si="0"/>
        <v>174</v>
      </c>
      <c r="H19" s="141"/>
    </row>
    <row r="20" spans="1:8" s="403" customFormat="1" ht="14.25">
      <c r="A20" s="202"/>
      <c r="B20" s="141"/>
      <c r="C20" s="354" t="s">
        <v>626</v>
      </c>
      <c r="D20" s="352">
        <v>1</v>
      </c>
      <c r="E20" s="352">
        <v>27</v>
      </c>
      <c r="F20" s="352">
        <v>146</v>
      </c>
      <c r="G20" s="353">
        <f t="shared" si="0"/>
        <v>174</v>
      </c>
      <c r="H20" s="141"/>
    </row>
    <row r="21" spans="1:8" s="403" customFormat="1" ht="21.75" customHeight="1">
      <c r="A21" s="135"/>
      <c r="B21" s="209" t="s">
        <v>33</v>
      </c>
      <c r="C21" s="351" t="s">
        <v>627</v>
      </c>
      <c r="D21" s="355"/>
      <c r="E21" s="355"/>
      <c r="F21" s="355"/>
      <c r="G21" s="356"/>
      <c r="H21" s="350"/>
    </row>
    <row r="22" spans="1:8" s="403" customFormat="1" ht="14.25">
      <c r="A22" s="204" t="s">
        <v>291</v>
      </c>
      <c r="B22" s="203"/>
      <c r="C22" s="351" t="s">
        <v>628</v>
      </c>
      <c r="D22" s="355">
        <v>2</v>
      </c>
      <c r="E22" s="355" t="s">
        <v>7</v>
      </c>
      <c r="F22" s="355"/>
      <c r="G22" s="353">
        <f t="shared" si="0"/>
        <v>2</v>
      </c>
      <c r="H22" s="138"/>
    </row>
    <row r="23" spans="1:8" ht="14.25">
      <c r="A23" s="196"/>
      <c r="B23" s="141"/>
      <c r="C23" s="354" t="s">
        <v>629</v>
      </c>
      <c r="D23" s="352" t="s">
        <v>7</v>
      </c>
      <c r="E23" s="352" t="s">
        <v>7</v>
      </c>
      <c r="F23" s="352"/>
      <c r="G23" s="353">
        <f t="shared" si="0"/>
        <v>0</v>
      </c>
      <c r="H23" s="141"/>
    </row>
    <row r="24" spans="1:8" ht="14.25">
      <c r="A24" s="196"/>
      <c r="B24" s="141"/>
      <c r="C24" s="354" t="s">
        <v>630</v>
      </c>
      <c r="D24" s="352" t="s">
        <v>7</v>
      </c>
      <c r="E24" s="352" t="s">
        <v>7</v>
      </c>
      <c r="F24" s="352"/>
      <c r="G24" s="353">
        <f t="shared" si="0"/>
        <v>0</v>
      </c>
      <c r="H24" s="141"/>
    </row>
    <row r="25" spans="1:8" ht="14.25">
      <c r="A25" s="196"/>
      <c r="B25" s="141"/>
      <c r="C25" s="354" t="s">
        <v>631</v>
      </c>
      <c r="D25" s="352">
        <v>3</v>
      </c>
      <c r="E25" s="352">
        <v>54</v>
      </c>
      <c r="F25" s="352">
        <v>292</v>
      </c>
      <c r="G25" s="353">
        <f t="shared" si="0"/>
        <v>349</v>
      </c>
      <c r="H25" s="141"/>
    </row>
    <row r="26" spans="1:8" ht="14.25">
      <c r="A26" s="196"/>
      <c r="B26" s="141"/>
      <c r="C26" s="354" t="s">
        <v>632</v>
      </c>
      <c r="D26" s="352">
        <v>3</v>
      </c>
      <c r="E26" s="352">
        <v>27</v>
      </c>
      <c r="F26" s="352">
        <v>146</v>
      </c>
      <c r="G26" s="353">
        <f t="shared" si="0"/>
        <v>176</v>
      </c>
      <c r="H26" s="141"/>
    </row>
    <row r="27" spans="1:8" ht="12.75">
      <c r="A27" s="196"/>
      <c r="B27" s="141"/>
      <c r="C27" s="141" t="s">
        <v>633</v>
      </c>
      <c r="D27" s="141"/>
      <c r="E27" s="141"/>
      <c r="F27" s="141"/>
      <c r="G27" s="141"/>
      <c r="H27" s="141"/>
    </row>
    <row r="28" spans="1:8" ht="45.75" customHeight="1">
      <c r="A28" s="196"/>
      <c r="B28" s="199"/>
      <c r="C28" s="199"/>
      <c r="D28" s="199"/>
      <c r="E28" s="199"/>
      <c r="F28" s="199"/>
      <c r="G28" s="199"/>
      <c r="H28" s="199"/>
    </row>
    <row r="29" spans="1:8" ht="12.75" customHeight="1">
      <c r="A29" s="197"/>
      <c r="B29" s="197"/>
      <c r="C29" s="197"/>
      <c r="D29" s="197"/>
      <c r="E29" s="197"/>
      <c r="F29" s="1035" t="s">
        <v>13</v>
      </c>
      <c r="G29" s="1035"/>
      <c r="H29" s="1035"/>
    </row>
    <row r="30" spans="1:8" ht="12.75" customHeight="1">
      <c r="A30" s="196"/>
      <c r="B30" s="196"/>
      <c r="C30" s="196"/>
      <c r="D30" s="196"/>
      <c r="E30" s="196"/>
      <c r="F30" s="1035" t="s">
        <v>14</v>
      </c>
      <c r="G30" s="1035"/>
      <c r="H30" s="1035"/>
    </row>
    <row r="31" spans="1:8" ht="12.75">
      <c r="A31" s="196"/>
      <c r="B31" s="196"/>
      <c r="C31" s="196"/>
      <c r="D31" s="196"/>
      <c r="E31" s="196"/>
      <c r="F31" s="1035" t="s">
        <v>751</v>
      </c>
      <c r="G31" s="1035"/>
      <c r="H31" s="1035"/>
    </row>
    <row r="32" spans="1:8" ht="12.75">
      <c r="A32" s="196"/>
      <c r="B32" s="196" t="s">
        <v>12</v>
      </c>
      <c r="C32" s="196"/>
      <c r="D32" s="196"/>
      <c r="E32" s="196"/>
      <c r="F32" s="411" t="s">
        <v>84</v>
      </c>
      <c r="G32" s="411"/>
      <c r="H32" s="411"/>
    </row>
  </sheetData>
  <sheetProtection/>
  <mergeCells count="12">
    <mergeCell ref="H11:H12"/>
    <mergeCell ref="C14:H14"/>
    <mergeCell ref="F29:H29"/>
    <mergeCell ref="F30:H30"/>
    <mergeCell ref="F31:H31"/>
    <mergeCell ref="A2:G2"/>
    <mergeCell ref="A3:G3"/>
    <mergeCell ref="A5:G5"/>
    <mergeCell ref="B11:B12"/>
    <mergeCell ref="C11:C12"/>
    <mergeCell ref="D11:G11"/>
    <mergeCell ref="A7:C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44"/>
  <sheetViews>
    <sheetView view="pageBreakPreview" zoomScaleSheetLayoutView="100" zoomScalePageLayoutView="0" workbookViewId="0" topLeftCell="A22">
      <selection activeCell="I14" sqref="I1:J16384"/>
    </sheetView>
  </sheetViews>
  <sheetFormatPr defaultColWidth="9.140625" defaultRowHeight="12.75"/>
  <cols>
    <col min="1" max="1" width="8.28125" style="438" customWidth="1"/>
    <col min="2" max="2" width="12.140625" style="438" customWidth="1"/>
    <col min="3" max="3" width="11.57421875" style="438" customWidth="1"/>
    <col min="4" max="4" width="19.7109375" style="438" customWidth="1"/>
    <col min="5" max="5" width="16.140625" style="438" customWidth="1"/>
    <col min="6" max="6" width="18.421875" style="438" customWidth="1"/>
    <col min="7" max="7" width="23.57421875" style="438" customWidth="1"/>
    <col min="8" max="8" width="24.57421875" style="438" customWidth="1"/>
    <col min="9" max="16384" width="9.140625" style="438" customWidth="1"/>
  </cols>
  <sheetData>
    <row r="1" spans="1:8" ht="18">
      <c r="A1" s="1056" t="s">
        <v>0</v>
      </c>
      <c r="B1" s="1056"/>
      <c r="C1" s="1056"/>
      <c r="D1" s="1056"/>
      <c r="E1" s="1056"/>
      <c r="F1" s="1056"/>
      <c r="G1" s="1060" t="s">
        <v>809</v>
      </c>
      <c r="H1" s="1060"/>
    </row>
    <row r="2" spans="1:7" ht="21">
      <c r="A2" s="1057" t="s">
        <v>859</v>
      </c>
      <c r="B2" s="1057"/>
      <c r="C2" s="1057"/>
      <c r="D2" s="1057"/>
      <c r="E2" s="1057"/>
      <c r="F2" s="1057"/>
      <c r="G2" s="1057"/>
    </row>
    <row r="3" spans="1:2" ht="15">
      <c r="A3" s="440"/>
      <c r="B3" s="440"/>
    </row>
    <row r="4" spans="1:7" ht="18" customHeight="1">
      <c r="A4" s="1058" t="s">
        <v>808</v>
      </c>
      <c r="B4" s="1058"/>
      <c r="C4" s="1058"/>
      <c r="D4" s="1058"/>
      <c r="E4" s="1058"/>
      <c r="F4" s="1058"/>
      <c r="G4" s="1058"/>
    </row>
    <row r="5" spans="1:2" ht="15">
      <c r="A5" s="443" t="s">
        <v>829</v>
      </c>
      <c r="B5" s="443"/>
    </row>
    <row r="6" spans="1:8" ht="15">
      <c r="A6" s="443"/>
      <c r="B6" s="443"/>
      <c r="F6" s="1059" t="s">
        <v>906</v>
      </c>
      <c r="G6" s="1059"/>
      <c r="H6" s="1059"/>
    </row>
    <row r="7" spans="1:8" ht="59.25" customHeight="1">
      <c r="A7" s="544" t="s">
        <v>2</v>
      </c>
      <c r="B7" s="652" t="s">
        <v>3</v>
      </c>
      <c r="C7" s="543" t="s">
        <v>807</v>
      </c>
      <c r="D7" s="543" t="s">
        <v>806</v>
      </c>
      <c r="E7" s="543" t="s">
        <v>805</v>
      </c>
      <c r="F7" s="543" t="s">
        <v>804</v>
      </c>
      <c r="G7" s="653" t="s">
        <v>962</v>
      </c>
      <c r="H7" s="654" t="s">
        <v>963</v>
      </c>
    </row>
    <row r="8" spans="1:8" s="542" customFormat="1" ht="15">
      <c r="A8" s="448" t="s">
        <v>282</v>
      </c>
      <c r="B8" s="448" t="s">
        <v>283</v>
      </c>
      <c r="C8" s="448" t="s">
        <v>284</v>
      </c>
      <c r="D8" s="448" t="s">
        <v>285</v>
      </c>
      <c r="E8" s="448" t="s">
        <v>286</v>
      </c>
      <c r="F8" s="448" t="s">
        <v>287</v>
      </c>
      <c r="G8" s="655" t="s">
        <v>288</v>
      </c>
      <c r="H8" s="656">
        <v>8</v>
      </c>
    </row>
    <row r="9" spans="1:8" s="542" customFormat="1" ht="15">
      <c r="A9" s="262">
        <v>1</v>
      </c>
      <c r="B9" s="647" t="s">
        <v>898</v>
      </c>
      <c r="C9" s="800">
        <f>'AT-3'!H9</f>
        <v>1976</v>
      </c>
      <c r="D9" s="673">
        <v>922</v>
      </c>
      <c r="E9" s="673">
        <v>67</v>
      </c>
      <c r="F9" s="673">
        <v>27</v>
      </c>
      <c r="G9" s="800">
        <f aca="true" t="shared" si="0" ref="G9:G35">ROUND((D9-E9-F9)*60%,0)</f>
        <v>497</v>
      </c>
      <c r="H9" s="660" t="s">
        <v>964</v>
      </c>
    </row>
    <row r="10" spans="1:8" s="542" customFormat="1" ht="15">
      <c r="A10" s="260">
        <v>2</v>
      </c>
      <c r="B10" s="647" t="s">
        <v>899</v>
      </c>
      <c r="C10" s="800">
        <f>'AT-3'!H10</f>
        <v>1965</v>
      </c>
      <c r="D10" s="800">
        <v>685</v>
      </c>
      <c r="E10" s="800">
        <v>54</v>
      </c>
      <c r="F10" s="800">
        <v>35</v>
      </c>
      <c r="G10" s="800">
        <f t="shared" si="0"/>
        <v>358</v>
      </c>
      <c r="H10" s="660" t="s">
        <v>964</v>
      </c>
    </row>
    <row r="11" spans="1:8" s="542" customFormat="1" ht="15">
      <c r="A11" s="260">
        <v>3</v>
      </c>
      <c r="B11" s="647" t="s">
        <v>839</v>
      </c>
      <c r="C11" s="800">
        <f>'AT-3'!H11</f>
        <v>1935</v>
      </c>
      <c r="D11" s="673">
        <v>1935</v>
      </c>
      <c r="E11" s="673">
        <v>135</v>
      </c>
      <c r="F11" s="673">
        <v>41</v>
      </c>
      <c r="G11" s="800">
        <f t="shared" si="0"/>
        <v>1055</v>
      </c>
      <c r="H11" s="660" t="s">
        <v>964</v>
      </c>
    </row>
    <row r="12" spans="1:8" s="542" customFormat="1" ht="15">
      <c r="A12" s="260">
        <v>4</v>
      </c>
      <c r="B12" s="647" t="s">
        <v>743</v>
      </c>
      <c r="C12" s="800">
        <f>'AT-3'!H12</f>
        <v>2503</v>
      </c>
      <c r="D12" s="800">
        <v>600</v>
      </c>
      <c r="E12" s="800">
        <v>444</v>
      </c>
      <c r="F12" s="800">
        <v>46</v>
      </c>
      <c r="G12" s="800">
        <f t="shared" si="0"/>
        <v>66</v>
      </c>
      <c r="H12" s="660" t="s">
        <v>964</v>
      </c>
    </row>
    <row r="13" spans="1:8" s="542" customFormat="1" ht="15">
      <c r="A13" s="260">
        <v>5</v>
      </c>
      <c r="B13" s="647" t="s">
        <v>748</v>
      </c>
      <c r="C13" s="800">
        <f>'AT-3'!H13</f>
        <v>2904</v>
      </c>
      <c r="D13" s="673">
        <v>856</v>
      </c>
      <c r="E13" s="673">
        <v>156</v>
      </c>
      <c r="F13" s="673">
        <v>23</v>
      </c>
      <c r="G13" s="800">
        <f t="shared" si="0"/>
        <v>406</v>
      </c>
      <c r="H13" s="660" t="s">
        <v>964</v>
      </c>
    </row>
    <row r="14" spans="1:8" s="542" customFormat="1" ht="15">
      <c r="A14" s="260">
        <v>6</v>
      </c>
      <c r="B14" s="647" t="s">
        <v>747</v>
      </c>
      <c r="C14" s="800">
        <f>'AT-3'!H14</f>
        <v>2657</v>
      </c>
      <c r="D14" s="673">
        <v>767</v>
      </c>
      <c r="E14" s="673">
        <v>10</v>
      </c>
      <c r="F14" s="673">
        <v>32</v>
      </c>
      <c r="G14" s="800">
        <f t="shared" si="0"/>
        <v>435</v>
      </c>
      <c r="H14" s="660" t="s">
        <v>964</v>
      </c>
    </row>
    <row r="15" spans="1:8" s="542" customFormat="1" ht="15">
      <c r="A15" s="260">
        <v>7</v>
      </c>
      <c r="B15" s="647" t="s">
        <v>737</v>
      </c>
      <c r="C15" s="800">
        <f>'AT-3'!H15</f>
        <v>969</v>
      </c>
      <c r="D15" s="800">
        <v>134</v>
      </c>
      <c r="E15" s="800">
        <v>56</v>
      </c>
      <c r="F15" s="800">
        <v>15</v>
      </c>
      <c r="G15" s="800">
        <f t="shared" si="0"/>
        <v>38</v>
      </c>
      <c r="H15" s="660" t="s">
        <v>964</v>
      </c>
    </row>
    <row r="16" spans="1:8" s="542" customFormat="1" ht="15">
      <c r="A16" s="260">
        <v>8</v>
      </c>
      <c r="B16" s="647" t="s">
        <v>749</v>
      </c>
      <c r="C16" s="800">
        <f>'AT-3'!H16</f>
        <v>1280</v>
      </c>
      <c r="D16" s="673">
        <v>80</v>
      </c>
      <c r="E16" s="673">
        <v>18</v>
      </c>
      <c r="F16" s="673">
        <v>58</v>
      </c>
      <c r="G16" s="800">
        <f t="shared" si="0"/>
        <v>2</v>
      </c>
      <c r="H16" s="660" t="s">
        <v>964</v>
      </c>
    </row>
    <row r="17" spans="1:8" s="542" customFormat="1" ht="15">
      <c r="A17" s="260">
        <v>9</v>
      </c>
      <c r="B17" s="647" t="s">
        <v>834</v>
      </c>
      <c r="C17" s="800">
        <f>'AT-3'!H17</f>
        <v>2192</v>
      </c>
      <c r="D17" s="800">
        <v>659</v>
      </c>
      <c r="E17" s="800">
        <v>58</v>
      </c>
      <c r="F17" s="800">
        <v>41</v>
      </c>
      <c r="G17" s="800">
        <f t="shared" si="0"/>
        <v>336</v>
      </c>
      <c r="H17" s="660" t="s">
        <v>964</v>
      </c>
    </row>
    <row r="18" spans="1:8" s="542" customFormat="1" ht="15">
      <c r="A18" s="260">
        <v>10</v>
      </c>
      <c r="B18" s="647" t="s">
        <v>739</v>
      </c>
      <c r="C18" s="800">
        <f>'AT-3'!H18</f>
        <v>567</v>
      </c>
      <c r="D18" s="673">
        <v>440</v>
      </c>
      <c r="E18" s="673">
        <v>40</v>
      </c>
      <c r="F18" s="673">
        <v>12</v>
      </c>
      <c r="G18" s="800">
        <f t="shared" si="0"/>
        <v>233</v>
      </c>
      <c r="H18" s="660" t="s">
        <v>964</v>
      </c>
    </row>
    <row r="19" spans="1:8" s="542" customFormat="1" ht="15">
      <c r="A19" s="260">
        <v>11</v>
      </c>
      <c r="B19" s="647" t="s">
        <v>900</v>
      </c>
      <c r="C19" s="800">
        <f>'AT-3'!H19</f>
        <v>983</v>
      </c>
      <c r="D19" s="673">
        <v>700</v>
      </c>
      <c r="E19" s="673">
        <v>108</v>
      </c>
      <c r="F19" s="673">
        <v>26</v>
      </c>
      <c r="G19" s="800">
        <f t="shared" si="0"/>
        <v>340</v>
      </c>
      <c r="H19" s="660" t="s">
        <v>964</v>
      </c>
    </row>
    <row r="20" spans="1:8" s="542" customFormat="1" ht="15">
      <c r="A20" s="260">
        <v>12</v>
      </c>
      <c r="B20" s="647" t="s">
        <v>731</v>
      </c>
      <c r="C20" s="800">
        <f>'AT-3'!H20</f>
        <v>1835</v>
      </c>
      <c r="D20" s="800">
        <v>756</v>
      </c>
      <c r="E20" s="800">
        <v>55</v>
      </c>
      <c r="F20" s="800">
        <v>34</v>
      </c>
      <c r="G20" s="800">
        <f t="shared" si="0"/>
        <v>400</v>
      </c>
      <c r="H20" s="660" t="s">
        <v>964</v>
      </c>
    </row>
    <row r="21" spans="1:8" s="542" customFormat="1" ht="15">
      <c r="A21" s="260">
        <v>13</v>
      </c>
      <c r="B21" s="647" t="s">
        <v>742</v>
      </c>
      <c r="C21" s="800">
        <f>'AT-3'!H21</f>
        <v>1239</v>
      </c>
      <c r="D21" s="800">
        <v>1106</v>
      </c>
      <c r="E21" s="800">
        <v>56</v>
      </c>
      <c r="F21" s="800">
        <v>15</v>
      </c>
      <c r="G21" s="800">
        <f t="shared" si="0"/>
        <v>621</v>
      </c>
      <c r="H21" s="660" t="s">
        <v>964</v>
      </c>
    </row>
    <row r="22" spans="1:8" s="542" customFormat="1" ht="15">
      <c r="A22" s="260">
        <v>14</v>
      </c>
      <c r="B22" s="647" t="s">
        <v>740</v>
      </c>
      <c r="C22" s="800">
        <f>'AT-3'!H22</f>
        <v>1133</v>
      </c>
      <c r="D22" s="800">
        <v>138</v>
      </c>
      <c r="E22" s="800">
        <v>21</v>
      </c>
      <c r="F22" s="800">
        <v>15</v>
      </c>
      <c r="G22" s="800">
        <f t="shared" si="0"/>
        <v>61</v>
      </c>
      <c r="H22" s="660" t="s">
        <v>964</v>
      </c>
    </row>
    <row r="23" spans="1:8" s="542" customFormat="1" ht="15">
      <c r="A23" s="260">
        <v>15</v>
      </c>
      <c r="B23" s="647" t="s">
        <v>734</v>
      </c>
      <c r="C23" s="800">
        <f>'AT-3'!H23</f>
        <v>1432</v>
      </c>
      <c r="D23" s="800">
        <v>207</v>
      </c>
      <c r="E23" s="800">
        <v>34</v>
      </c>
      <c r="F23" s="800">
        <v>19</v>
      </c>
      <c r="G23" s="800">
        <f t="shared" si="0"/>
        <v>92</v>
      </c>
      <c r="H23" s="660" t="s">
        <v>964</v>
      </c>
    </row>
    <row r="24" spans="1:8" s="542" customFormat="1" ht="15">
      <c r="A24" s="260">
        <v>16</v>
      </c>
      <c r="B24" s="647" t="s">
        <v>741</v>
      </c>
      <c r="C24" s="800">
        <f>'AT-3'!H24</f>
        <v>1830</v>
      </c>
      <c r="D24" s="800">
        <v>1760</v>
      </c>
      <c r="E24" s="800">
        <v>151</v>
      </c>
      <c r="F24" s="800">
        <v>364</v>
      </c>
      <c r="G24" s="800">
        <f t="shared" si="0"/>
        <v>747</v>
      </c>
      <c r="H24" s="660" t="s">
        <v>964</v>
      </c>
    </row>
    <row r="25" spans="1:8" s="542" customFormat="1" ht="15">
      <c r="A25" s="260">
        <v>17</v>
      </c>
      <c r="B25" s="647" t="s">
        <v>733</v>
      </c>
      <c r="C25" s="800">
        <f>'AT-3'!H25</f>
        <v>1383</v>
      </c>
      <c r="D25" s="800">
        <v>639</v>
      </c>
      <c r="E25" s="800">
        <v>97</v>
      </c>
      <c r="F25" s="800">
        <v>49</v>
      </c>
      <c r="G25" s="800">
        <f t="shared" si="0"/>
        <v>296</v>
      </c>
      <c r="H25" s="660" t="s">
        <v>964</v>
      </c>
    </row>
    <row r="26" spans="1:8" s="542" customFormat="1" ht="15">
      <c r="A26" s="260">
        <v>18</v>
      </c>
      <c r="B26" s="647" t="s">
        <v>735</v>
      </c>
      <c r="C26" s="800">
        <f>'AT-3'!H26</f>
        <v>2342</v>
      </c>
      <c r="D26" s="800">
        <v>875</v>
      </c>
      <c r="E26" s="800">
        <v>19</v>
      </c>
      <c r="F26" s="800">
        <v>120</v>
      </c>
      <c r="G26" s="800">
        <f t="shared" si="0"/>
        <v>442</v>
      </c>
      <c r="H26" s="660" t="s">
        <v>964</v>
      </c>
    </row>
    <row r="27" spans="1:8" s="542" customFormat="1" ht="15">
      <c r="A27" s="260">
        <v>19</v>
      </c>
      <c r="B27" s="647" t="s">
        <v>732</v>
      </c>
      <c r="C27" s="800">
        <f>'AT-3'!H27</f>
        <v>2020</v>
      </c>
      <c r="D27" s="800">
        <v>970</v>
      </c>
      <c r="E27" s="800">
        <v>251</v>
      </c>
      <c r="F27" s="800">
        <v>47</v>
      </c>
      <c r="G27" s="800">
        <f t="shared" si="0"/>
        <v>403</v>
      </c>
      <c r="H27" s="660" t="s">
        <v>964</v>
      </c>
    </row>
    <row r="28" spans="1:8" ht="15">
      <c r="A28" s="260">
        <v>20</v>
      </c>
      <c r="B28" s="647" t="s">
        <v>836</v>
      </c>
      <c r="C28" s="800">
        <f>'AT-3'!H28</f>
        <v>2266</v>
      </c>
      <c r="D28" s="800">
        <v>711</v>
      </c>
      <c r="E28" s="800">
        <v>253</v>
      </c>
      <c r="F28" s="800">
        <v>52</v>
      </c>
      <c r="G28" s="800">
        <f t="shared" si="0"/>
        <v>244</v>
      </c>
      <c r="H28" s="660" t="s">
        <v>964</v>
      </c>
    </row>
    <row r="29" spans="1:8" ht="15">
      <c r="A29" s="260">
        <v>21</v>
      </c>
      <c r="B29" s="647" t="s">
        <v>729</v>
      </c>
      <c r="C29" s="800">
        <f>'AT-3'!H29</f>
        <v>1480</v>
      </c>
      <c r="D29" s="800">
        <v>652</v>
      </c>
      <c r="E29" s="800">
        <v>13</v>
      </c>
      <c r="F29" s="800">
        <v>23</v>
      </c>
      <c r="G29" s="800">
        <f t="shared" si="0"/>
        <v>370</v>
      </c>
      <c r="H29" s="660" t="s">
        <v>964</v>
      </c>
    </row>
    <row r="30" spans="1:8" ht="15">
      <c r="A30" s="260">
        <v>22</v>
      </c>
      <c r="B30" s="647" t="s">
        <v>746</v>
      </c>
      <c r="C30" s="800">
        <f>'AT-3'!H30</f>
        <v>1808</v>
      </c>
      <c r="D30" s="800">
        <v>1258</v>
      </c>
      <c r="E30" s="800">
        <v>38</v>
      </c>
      <c r="F30" s="800">
        <v>41</v>
      </c>
      <c r="G30" s="800">
        <f t="shared" si="0"/>
        <v>707</v>
      </c>
      <c r="H30" s="660" t="s">
        <v>964</v>
      </c>
    </row>
    <row r="31" spans="1:8" ht="15">
      <c r="A31" s="260">
        <v>23</v>
      </c>
      <c r="B31" s="647" t="s">
        <v>738</v>
      </c>
      <c r="C31" s="800">
        <f>'AT-3'!H31</f>
        <v>1336</v>
      </c>
      <c r="D31" s="800">
        <v>489</v>
      </c>
      <c r="E31" s="800">
        <v>89</v>
      </c>
      <c r="F31" s="800">
        <v>26</v>
      </c>
      <c r="G31" s="800">
        <f t="shared" si="0"/>
        <v>224</v>
      </c>
      <c r="H31" s="660" t="s">
        <v>964</v>
      </c>
    </row>
    <row r="32" spans="1:8" ht="15">
      <c r="A32" s="260">
        <v>24</v>
      </c>
      <c r="B32" s="647" t="s">
        <v>730</v>
      </c>
      <c r="C32" s="800">
        <f>'AT-3'!H32</f>
        <v>2207</v>
      </c>
      <c r="D32" s="800">
        <v>802</v>
      </c>
      <c r="E32" s="800">
        <v>257</v>
      </c>
      <c r="F32" s="800">
        <v>34</v>
      </c>
      <c r="G32" s="800">
        <f t="shared" si="0"/>
        <v>307</v>
      </c>
      <c r="H32" s="660" t="s">
        <v>964</v>
      </c>
    </row>
    <row r="33" spans="1:8" ht="15">
      <c r="A33" s="260">
        <v>25</v>
      </c>
      <c r="B33" s="647" t="s">
        <v>736</v>
      </c>
      <c r="C33" s="800">
        <f>'AT-3'!H33</f>
        <v>884</v>
      </c>
      <c r="D33" s="800">
        <v>451</v>
      </c>
      <c r="E33" s="800">
        <v>106</v>
      </c>
      <c r="F33" s="800">
        <v>58</v>
      </c>
      <c r="G33" s="800">
        <f t="shared" si="0"/>
        <v>172</v>
      </c>
      <c r="H33" s="660" t="s">
        <v>964</v>
      </c>
    </row>
    <row r="34" spans="1:8" ht="15">
      <c r="A34" s="260">
        <v>26</v>
      </c>
      <c r="B34" s="647" t="s">
        <v>744</v>
      </c>
      <c r="C34" s="800">
        <f>'AT-3'!H34</f>
        <v>887</v>
      </c>
      <c r="D34" s="800">
        <v>285</v>
      </c>
      <c r="E34" s="800">
        <v>14</v>
      </c>
      <c r="F34" s="800">
        <v>24</v>
      </c>
      <c r="G34" s="800">
        <f t="shared" si="0"/>
        <v>148</v>
      </c>
      <c r="H34" s="660" t="s">
        <v>964</v>
      </c>
    </row>
    <row r="35" spans="1:8" ht="15">
      <c r="A35" s="262">
        <v>27</v>
      </c>
      <c r="B35" s="647" t="s">
        <v>745</v>
      </c>
      <c r="C35" s="800">
        <f>'AT-3'!H35</f>
        <v>941</v>
      </c>
      <c r="D35" s="673">
        <v>450</v>
      </c>
      <c r="E35" s="673">
        <v>69</v>
      </c>
      <c r="F35" s="673">
        <v>24</v>
      </c>
      <c r="G35" s="800">
        <f t="shared" si="0"/>
        <v>214</v>
      </c>
      <c r="H35" s="660" t="s">
        <v>964</v>
      </c>
    </row>
    <row r="36" spans="1:8" ht="12.75">
      <c r="A36" s="402"/>
      <c r="B36" s="402" t="s">
        <v>19</v>
      </c>
      <c r="C36" s="801">
        <f>SUM(C9:C35)</f>
        <v>44954</v>
      </c>
      <c r="D36" s="801">
        <f>SUM(D9:D35)</f>
        <v>19327</v>
      </c>
      <c r="E36" s="801">
        <f>SUM(E9:E35)</f>
        <v>2669</v>
      </c>
      <c r="F36" s="801">
        <f>SUM(F9:F35)</f>
        <v>1301</v>
      </c>
      <c r="G36" s="801">
        <f>SUM(G9:G35)</f>
        <v>9214</v>
      </c>
      <c r="H36" s="450"/>
    </row>
    <row r="37" ht="12.75">
      <c r="A37" s="541"/>
    </row>
    <row r="40" spans="1:8" ht="15" customHeight="1">
      <c r="A40" s="539"/>
      <c r="B40" s="539"/>
      <c r="C40" s="539"/>
      <c r="D40" s="539"/>
      <c r="E40" s="539"/>
      <c r="F40" s="1054" t="s">
        <v>13</v>
      </c>
      <c r="G40" s="1054"/>
      <c r="H40" s="540"/>
    </row>
    <row r="41" spans="1:8" ht="15" customHeight="1">
      <c r="A41" s="539"/>
      <c r="B41" s="539"/>
      <c r="C41" s="539"/>
      <c r="D41" s="539"/>
      <c r="E41" s="539"/>
      <c r="F41" s="1054" t="s">
        <v>14</v>
      </c>
      <c r="G41" s="1054"/>
      <c r="H41" s="540"/>
    </row>
    <row r="42" spans="1:8" ht="24" customHeight="1">
      <c r="A42" s="539"/>
      <c r="B42" s="539"/>
      <c r="C42" s="539"/>
      <c r="D42" s="539"/>
      <c r="E42" s="539"/>
      <c r="F42" s="1054" t="s">
        <v>727</v>
      </c>
      <c r="G42" s="1054"/>
      <c r="H42" s="540"/>
    </row>
    <row r="43" spans="1:8" ht="12.75">
      <c r="A43" s="539" t="s">
        <v>12</v>
      </c>
      <c r="C43" s="539"/>
      <c r="D43" s="539"/>
      <c r="E43" s="539"/>
      <c r="F43" s="1055" t="s">
        <v>84</v>
      </c>
      <c r="G43" s="1055"/>
      <c r="H43" s="539"/>
    </row>
    <row r="44" spans="1:11" ht="12.75">
      <c r="A44" s="539"/>
      <c r="B44" s="539"/>
      <c r="C44" s="539"/>
      <c r="D44" s="539"/>
      <c r="E44" s="539"/>
      <c r="F44" s="539"/>
      <c r="G44" s="539"/>
      <c r="H44" s="539"/>
      <c r="I44" s="539"/>
      <c r="J44" s="539"/>
      <c r="K44" s="539"/>
    </row>
  </sheetData>
  <sheetProtection/>
  <mergeCells count="9">
    <mergeCell ref="F42:G42"/>
    <mergeCell ref="F43:G43"/>
    <mergeCell ref="A1:F1"/>
    <mergeCell ref="A2:G2"/>
    <mergeCell ref="A4:G4"/>
    <mergeCell ref="F40:G40"/>
    <mergeCell ref="F41:G41"/>
    <mergeCell ref="F6:H6"/>
    <mergeCell ref="G1:H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M41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8.28125" style="438" customWidth="1"/>
    <col min="2" max="2" width="15.57421875" style="438" customWidth="1"/>
    <col min="3" max="3" width="14.7109375" style="438" customWidth="1"/>
    <col min="4" max="4" width="17.00390625" style="438" customWidth="1"/>
    <col min="5" max="5" width="15.7109375" style="438" customWidth="1"/>
    <col min="6" max="6" width="16.28125" style="438" customWidth="1"/>
    <col min="7" max="7" width="33.28125" style="438" customWidth="1"/>
    <col min="8" max="8" width="20.28125" style="438" customWidth="1"/>
    <col min="9" max="16384" width="9.140625" style="438" customWidth="1"/>
  </cols>
  <sheetData>
    <row r="1" spans="1:8" ht="18">
      <c r="A1" s="1056" t="s">
        <v>0</v>
      </c>
      <c r="B1" s="1056"/>
      <c r="C1" s="1056"/>
      <c r="D1" s="1056"/>
      <c r="E1" s="1056"/>
      <c r="F1" s="1056"/>
      <c r="H1" s="542" t="s">
        <v>830</v>
      </c>
    </row>
    <row r="2" spans="1:7" ht="21">
      <c r="A2" s="1057" t="s">
        <v>859</v>
      </c>
      <c r="B2" s="1057"/>
      <c r="C2" s="1057"/>
      <c r="D2" s="1057"/>
      <c r="E2" s="1057"/>
      <c r="F2" s="1057"/>
      <c r="G2" s="1057"/>
    </row>
    <row r="3" spans="1:2" ht="15">
      <c r="A3" s="440"/>
      <c r="B3" s="440"/>
    </row>
    <row r="4" spans="1:7" ht="18" customHeight="1">
      <c r="A4" s="1058" t="s">
        <v>965</v>
      </c>
      <c r="B4" s="1058"/>
      <c r="C4" s="1058"/>
      <c r="D4" s="1058"/>
      <c r="E4" s="1058"/>
      <c r="F4" s="1058"/>
      <c r="G4" s="1058"/>
    </row>
    <row r="5" spans="1:2" ht="15">
      <c r="A5" s="443" t="s">
        <v>636</v>
      </c>
      <c r="B5" s="443"/>
    </row>
    <row r="6" spans="1:8" ht="15">
      <c r="A6" s="443"/>
      <c r="B6" s="443"/>
      <c r="F6" s="1059" t="s">
        <v>906</v>
      </c>
      <c r="G6" s="1059"/>
      <c r="H6" s="1059"/>
    </row>
    <row r="7" spans="1:8" ht="59.25" customHeight="1">
      <c r="A7" s="652" t="s">
        <v>2</v>
      </c>
      <c r="B7" s="652" t="s">
        <v>3</v>
      </c>
      <c r="C7" s="543" t="s">
        <v>966</v>
      </c>
      <c r="D7" s="543" t="s">
        <v>967</v>
      </c>
      <c r="E7" s="543" t="s">
        <v>968</v>
      </c>
      <c r="F7" s="543" t="s">
        <v>969</v>
      </c>
      <c r="G7" s="653" t="s">
        <v>970</v>
      </c>
      <c r="H7" s="654" t="s">
        <v>971</v>
      </c>
    </row>
    <row r="8" spans="1:8" s="542" customFormat="1" ht="15">
      <c r="A8" s="448" t="s">
        <v>282</v>
      </c>
      <c r="B8" s="448" t="s">
        <v>283</v>
      </c>
      <c r="C8" s="448" t="s">
        <v>284</v>
      </c>
      <c r="D8" s="448" t="s">
        <v>285</v>
      </c>
      <c r="E8" s="448" t="s">
        <v>286</v>
      </c>
      <c r="F8" s="448" t="s">
        <v>287</v>
      </c>
      <c r="G8" s="655" t="s">
        <v>288</v>
      </c>
      <c r="H8" s="656">
        <v>8</v>
      </c>
    </row>
    <row r="9" spans="1:8" s="542" customFormat="1" ht="16.5" customHeight="1">
      <c r="A9" s="262">
        <v>1</v>
      </c>
      <c r="B9" s="647" t="s">
        <v>898</v>
      </c>
      <c r="C9" s="802">
        <f>'AT-8_Hon_CCH_Pry'!D14+'AT-8A_Hon_CCH_UPry'!D13</f>
        <v>3631</v>
      </c>
      <c r="D9" s="665">
        <v>3485</v>
      </c>
      <c r="E9" s="668">
        <v>10</v>
      </c>
      <c r="F9" s="465" t="s">
        <v>972</v>
      </c>
      <c r="G9" s="670" t="s">
        <v>974</v>
      </c>
      <c r="H9" s="657" t="s">
        <v>973</v>
      </c>
    </row>
    <row r="10" spans="1:8" s="542" customFormat="1" ht="15">
      <c r="A10" s="260">
        <v>2</v>
      </c>
      <c r="B10" s="647" t="s">
        <v>899</v>
      </c>
      <c r="C10" s="802">
        <f>'AT-8_Hon_CCH_Pry'!D15+'AT-8A_Hon_CCH_UPry'!D14</f>
        <v>3660</v>
      </c>
      <c r="D10" s="665">
        <v>3587</v>
      </c>
      <c r="E10" s="668">
        <v>9</v>
      </c>
      <c r="F10" s="465" t="s">
        <v>972</v>
      </c>
      <c r="G10" s="670" t="s">
        <v>974</v>
      </c>
      <c r="H10" s="657" t="s">
        <v>973</v>
      </c>
    </row>
    <row r="11" spans="1:8" s="542" customFormat="1" ht="15">
      <c r="A11" s="260">
        <v>3</v>
      </c>
      <c r="B11" s="647" t="s">
        <v>839</v>
      </c>
      <c r="C11" s="802">
        <f>'AT-8_Hon_CCH_Pry'!D16+'AT-8A_Hon_CCH_UPry'!D15</f>
        <v>3303</v>
      </c>
      <c r="D11" s="665">
        <v>3012</v>
      </c>
      <c r="E11" s="668">
        <v>9</v>
      </c>
      <c r="F11" s="465" t="s">
        <v>972</v>
      </c>
      <c r="G11" s="670" t="s">
        <v>974</v>
      </c>
      <c r="H11" s="657" t="s">
        <v>973</v>
      </c>
    </row>
    <row r="12" spans="1:8" s="542" customFormat="1" ht="15">
      <c r="A12" s="260">
        <v>4</v>
      </c>
      <c r="B12" s="647" t="s">
        <v>743</v>
      </c>
      <c r="C12" s="802">
        <f>'AT-8_Hon_CCH_Pry'!D17+'AT-8A_Hon_CCH_UPry'!D16</f>
        <v>6196</v>
      </c>
      <c r="D12" s="665">
        <v>5987</v>
      </c>
      <c r="E12" s="668">
        <v>11</v>
      </c>
      <c r="F12" s="465" t="s">
        <v>972</v>
      </c>
      <c r="G12" s="670" t="s">
        <v>974</v>
      </c>
      <c r="H12" s="657" t="s">
        <v>973</v>
      </c>
    </row>
    <row r="13" spans="1:8" s="542" customFormat="1" ht="15">
      <c r="A13" s="260">
        <v>5</v>
      </c>
      <c r="B13" s="647" t="s">
        <v>748</v>
      </c>
      <c r="C13" s="802">
        <f>'AT-8_Hon_CCH_Pry'!D18+'AT-8A_Hon_CCH_UPry'!D17</f>
        <v>5713</v>
      </c>
      <c r="D13" s="665">
        <v>5550</v>
      </c>
      <c r="E13" s="668">
        <v>10</v>
      </c>
      <c r="F13" s="465" t="s">
        <v>972</v>
      </c>
      <c r="G13" s="670" t="s">
        <v>974</v>
      </c>
      <c r="H13" s="657" t="s">
        <v>973</v>
      </c>
    </row>
    <row r="14" spans="1:8" s="542" customFormat="1" ht="15">
      <c r="A14" s="260">
        <v>6</v>
      </c>
      <c r="B14" s="647" t="s">
        <v>747</v>
      </c>
      <c r="C14" s="802">
        <f>'AT-8_Hon_CCH_Pry'!D19+'AT-8A_Hon_CCH_UPry'!D18</f>
        <v>5484</v>
      </c>
      <c r="D14" s="665">
        <v>5245</v>
      </c>
      <c r="E14" s="668">
        <v>11</v>
      </c>
      <c r="F14" s="465" t="s">
        <v>972</v>
      </c>
      <c r="G14" s="670" t="s">
        <v>974</v>
      </c>
      <c r="H14" s="657" t="s">
        <v>973</v>
      </c>
    </row>
    <row r="15" spans="1:8" s="542" customFormat="1" ht="15">
      <c r="A15" s="260">
        <v>7</v>
      </c>
      <c r="B15" s="647" t="s">
        <v>737</v>
      </c>
      <c r="C15" s="802">
        <f>'AT-8_Hon_CCH_Pry'!D20+'AT-8A_Hon_CCH_UPry'!D19</f>
        <v>2299</v>
      </c>
      <c r="D15" s="665">
        <v>2145</v>
      </c>
      <c r="E15" s="668">
        <v>6</v>
      </c>
      <c r="F15" s="465" t="s">
        <v>972</v>
      </c>
      <c r="G15" s="670" t="s">
        <v>974</v>
      </c>
      <c r="H15" s="657" t="s">
        <v>973</v>
      </c>
    </row>
    <row r="16" spans="1:8" s="542" customFormat="1" ht="15">
      <c r="A16" s="260">
        <v>8</v>
      </c>
      <c r="B16" s="647" t="s">
        <v>749</v>
      </c>
      <c r="C16" s="802">
        <f>'AT-8_Hon_CCH_Pry'!D21+'AT-8A_Hon_CCH_UPry'!D20</f>
        <v>3303</v>
      </c>
      <c r="D16" s="665">
        <v>3154</v>
      </c>
      <c r="E16" s="668">
        <v>5</v>
      </c>
      <c r="F16" s="465" t="s">
        <v>972</v>
      </c>
      <c r="G16" s="670" t="s">
        <v>974</v>
      </c>
      <c r="H16" s="657" t="s">
        <v>973</v>
      </c>
    </row>
    <row r="17" spans="1:8" ht="15">
      <c r="A17" s="260">
        <v>9</v>
      </c>
      <c r="B17" s="647" t="s">
        <v>834</v>
      </c>
      <c r="C17" s="802">
        <f>'AT-8_Hon_CCH_Pry'!D22+'AT-8A_Hon_CCH_UPry'!D21</f>
        <v>4089</v>
      </c>
      <c r="D17" s="662">
        <v>3847</v>
      </c>
      <c r="E17" s="666">
        <v>8</v>
      </c>
      <c r="F17" s="465" t="s">
        <v>972</v>
      </c>
      <c r="G17" s="670" t="s">
        <v>974</v>
      </c>
      <c r="H17" s="657" t="s">
        <v>973</v>
      </c>
    </row>
    <row r="18" spans="1:8" ht="15">
      <c r="A18" s="260">
        <v>10</v>
      </c>
      <c r="B18" s="647" t="s">
        <v>739</v>
      </c>
      <c r="C18" s="802">
        <f>'AT-8_Hon_CCH_Pry'!D23+'AT-8A_Hon_CCH_UPry'!D22</f>
        <v>918</v>
      </c>
      <c r="D18" s="662">
        <v>812</v>
      </c>
      <c r="E18" s="666">
        <v>4</v>
      </c>
      <c r="F18" s="465" t="s">
        <v>972</v>
      </c>
      <c r="G18" s="670" t="s">
        <v>974</v>
      </c>
      <c r="H18" s="657" t="s">
        <v>973</v>
      </c>
    </row>
    <row r="19" spans="1:8" ht="15">
      <c r="A19" s="260">
        <v>11</v>
      </c>
      <c r="B19" s="647" t="s">
        <v>900</v>
      </c>
      <c r="C19" s="802">
        <f>'AT-8_Hon_CCH_Pry'!D24+'AT-8A_Hon_CCH_UPry'!D23</f>
        <v>1259</v>
      </c>
      <c r="D19" s="662">
        <v>1145</v>
      </c>
      <c r="E19" s="666">
        <v>6</v>
      </c>
      <c r="F19" s="465" t="s">
        <v>972</v>
      </c>
      <c r="G19" s="670" t="s">
        <v>974</v>
      </c>
      <c r="H19" s="657" t="s">
        <v>973</v>
      </c>
    </row>
    <row r="20" spans="1:8" ht="15">
      <c r="A20" s="260">
        <v>12</v>
      </c>
      <c r="B20" s="647" t="s">
        <v>731</v>
      </c>
      <c r="C20" s="802">
        <f>'AT-8_Hon_CCH_Pry'!D25+'AT-8A_Hon_CCH_UPry'!D24</f>
        <v>3306</v>
      </c>
      <c r="D20" s="662">
        <v>3154</v>
      </c>
      <c r="E20" s="666">
        <v>8</v>
      </c>
      <c r="F20" s="465" t="s">
        <v>972</v>
      </c>
      <c r="G20" s="670" t="s">
        <v>974</v>
      </c>
      <c r="H20" s="657" t="s">
        <v>973</v>
      </c>
    </row>
    <row r="21" spans="1:8" ht="15">
      <c r="A21" s="260">
        <v>13</v>
      </c>
      <c r="B21" s="647" t="s">
        <v>742</v>
      </c>
      <c r="C21" s="802">
        <f>'AT-8_Hon_CCH_Pry'!D26+'AT-8A_Hon_CCH_UPry'!D25</f>
        <v>2630</v>
      </c>
      <c r="D21" s="662">
        <v>2254</v>
      </c>
      <c r="E21" s="666">
        <v>8</v>
      </c>
      <c r="F21" s="465" t="s">
        <v>972</v>
      </c>
      <c r="G21" s="670" t="s">
        <v>974</v>
      </c>
      <c r="H21" s="657" t="s">
        <v>973</v>
      </c>
    </row>
    <row r="22" spans="1:8" ht="15">
      <c r="A22" s="260">
        <v>14</v>
      </c>
      <c r="B22" s="647" t="s">
        <v>740</v>
      </c>
      <c r="C22" s="802">
        <f>'AT-8_Hon_CCH_Pry'!D27+'AT-8A_Hon_CCH_UPry'!D26</f>
        <v>2768</v>
      </c>
      <c r="D22" s="662">
        <v>2579</v>
      </c>
      <c r="E22" s="666">
        <v>7</v>
      </c>
      <c r="F22" s="465" t="s">
        <v>972</v>
      </c>
      <c r="G22" s="670" t="s">
        <v>974</v>
      </c>
      <c r="H22" s="657" t="s">
        <v>973</v>
      </c>
    </row>
    <row r="23" spans="1:8" ht="15">
      <c r="A23" s="260">
        <v>15</v>
      </c>
      <c r="B23" s="647" t="s">
        <v>734</v>
      </c>
      <c r="C23" s="802">
        <f>'AT-8_Hon_CCH_Pry'!D28+'AT-8A_Hon_CCH_UPry'!D27</f>
        <v>2590</v>
      </c>
      <c r="D23" s="662">
        <v>2399</v>
      </c>
      <c r="E23" s="666">
        <v>10</v>
      </c>
      <c r="F23" s="465" t="s">
        <v>972</v>
      </c>
      <c r="G23" s="670" t="s">
        <v>974</v>
      </c>
      <c r="H23" s="657" t="s">
        <v>973</v>
      </c>
    </row>
    <row r="24" spans="1:8" ht="15">
      <c r="A24" s="260">
        <v>16</v>
      </c>
      <c r="B24" s="647" t="s">
        <v>741</v>
      </c>
      <c r="C24" s="802">
        <f>'AT-8_Hon_CCH_Pry'!D29+'AT-8A_Hon_CCH_UPry'!D28</f>
        <v>4610</v>
      </c>
      <c r="D24" s="662">
        <v>4356</v>
      </c>
      <c r="E24" s="666">
        <v>10</v>
      </c>
      <c r="F24" s="465" t="s">
        <v>972</v>
      </c>
      <c r="G24" s="670" t="s">
        <v>974</v>
      </c>
      <c r="H24" s="657" t="s">
        <v>973</v>
      </c>
    </row>
    <row r="25" spans="1:8" ht="15">
      <c r="A25" s="260">
        <v>17</v>
      </c>
      <c r="B25" s="647" t="s">
        <v>733</v>
      </c>
      <c r="C25" s="802">
        <f>'AT-8_Hon_CCH_Pry'!D30+'AT-8A_Hon_CCH_UPry'!D29</f>
        <v>2350</v>
      </c>
      <c r="D25" s="663">
        <v>2278</v>
      </c>
      <c r="E25" s="516">
        <v>9</v>
      </c>
      <c r="F25" s="465" t="s">
        <v>972</v>
      </c>
      <c r="G25" s="670" t="s">
        <v>974</v>
      </c>
      <c r="H25" s="657" t="s">
        <v>973</v>
      </c>
    </row>
    <row r="26" spans="1:8" ht="15">
      <c r="A26" s="260">
        <v>18</v>
      </c>
      <c r="B26" s="647" t="s">
        <v>735</v>
      </c>
      <c r="C26" s="802">
        <f>'AT-8_Hon_CCH_Pry'!D31+'AT-8A_Hon_CCH_UPry'!D30</f>
        <v>4966</v>
      </c>
      <c r="D26" s="663">
        <v>4801</v>
      </c>
      <c r="E26" s="516">
        <v>12</v>
      </c>
      <c r="F26" s="465" t="s">
        <v>972</v>
      </c>
      <c r="G26" s="670" t="s">
        <v>974</v>
      </c>
      <c r="H26" s="657" t="s">
        <v>973</v>
      </c>
    </row>
    <row r="27" spans="1:8" ht="15">
      <c r="A27" s="260">
        <v>19</v>
      </c>
      <c r="B27" s="647" t="s">
        <v>732</v>
      </c>
      <c r="C27" s="802">
        <f>'AT-8_Hon_CCH_Pry'!D32+'AT-8A_Hon_CCH_UPry'!D31</f>
        <v>4258</v>
      </c>
      <c r="D27" s="663">
        <v>3974</v>
      </c>
      <c r="E27" s="516">
        <v>10</v>
      </c>
      <c r="F27" s="465" t="s">
        <v>972</v>
      </c>
      <c r="G27" s="670" t="s">
        <v>974</v>
      </c>
      <c r="H27" s="657" t="s">
        <v>973</v>
      </c>
    </row>
    <row r="28" spans="1:8" ht="15">
      <c r="A28" s="260">
        <v>20</v>
      </c>
      <c r="B28" s="647" t="s">
        <v>836</v>
      </c>
      <c r="C28" s="802">
        <f>'AT-8_Hon_CCH_Pry'!D33+'AT-8A_Hon_CCH_UPry'!D32</f>
        <v>3706</v>
      </c>
      <c r="D28" s="663">
        <v>3578</v>
      </c>
      <c r="E28" s="516">
        <v>12</v>
      </c>
      <c r="F28" s="465" t="s">
        <v>972</v>
      </c>
      <c r="G28" s="670" t="s">
        <v>974</v>
      </c>
      <c r="H28" s="657" t="s">
        <v>973</v>
      </c>
    </row>
    <row r="29" spans="1:9" ht="15" customHeight="1">
      <c r="A29" s="260">
        <v>21</v>
      </c>
      <c r="B29" s="647" t="s">
        <v>729</v>
      </c>
      <c r="C29" s="802">
        <f>'AT-8_Hon_CCH_Pry'!D34+'AT-8A_Hon_CCH_UPry'!D33</f>
        <v>3246</v>
      </c>
      <c r="D29" s="664">
        <v>3024</v>
      </c>
      <c r="E29" s="667">
        <v>9</v>
      </c>
      <c r="F29" s="465" t="s">
        <v>972</v>
      </c>
      <c r="G29" s="670" t="s">
        <v>974</v>
      </c>
      <c r="H29" s="657" t="s">
        <v>973</v>
      </c>
      <c r="I29" s="659"/>
    </row>
    <row r="30" spans="1:9" ht="15" customHeight="1">
      <c r="A30" s="260">
        <v>22</v>
      </c>
      <c r="B30" s="647" t="s">
        <v>746</v>
      </c>
      <c r="C30" s="802">
        <f>'AT-8_Hon_CCH_Pry'!D35+'AT-8A_Hon_CCH_UPry'!D34</f>
        <v>3713</v>
      </c>
      <c r="D30" s="664">
        <v>3547</v>
      </c>
      <c r="E30" s="667">
        <v>10</v>
      </c>
      <c r="F30" s="465" t="s">
        <v>972</v>
      </c>
      <c r="G30" s="670" t="s">
        <v>974</v>
      </c>
      <c r="H30" s="657" t="s">
        <v>973</v>
      </c>
      <c r="I30" s="659"/>
    </row>
    <row r="31" spans="1:9" ht="15" customHeight="1">
      <c r="A31" s="260">
        <v>23</v>
      </c>
      <c r="B31" s="647" t="s">
        <v>738</v>
      </c>
      <c r="C31" s="802">
        <f>'AT-8_Hon_CCH_Pry'!D36+'AT-8A_Hon_CCH_UPry'!D35</f>
        <v>2684</v>
      </c>
      <c r="D31" s="664">
        <v>2478</v>
      </c>
      <c r="E31" s="667">
        <v>8</v>
      </c>
      <c r="F31" s="465" t="s">
        <v>972</v>
      </c>
      <c r="G31" s="670" t="s">
        <v>974</v>
      </c>
      <c r="H31" s="657" t="s">
        <v>973</v>
      </c>
      <c r="I31" s="661"/>
    </row>
    <row r="32" spans="1:9" ht="15">
      <c r="A32" s="260">
        <v>24</v>
      </c>
      <c r="B32" s="647" t="s">
        <v>730</v>
      </c>
      <c r="C32" s="802">
        <f>'AT-8_Hon_CCH_Pry'!D37+'AT-8A_Hon_CCH_UPry'!D36</f>
        <v>3630</v>
      </c>
      <c r="D32" s="664">
        <v>3366</v>
      </c>
      <c r="E32" s="667">
        <v>10</v>
      </c>
      <c r="F32" s="465" t="s">
        <v>972</v>
      </c>
      <c r="G32" s="670" t="s">
        <v>974</v>
      </c>
      <c r="H32" s="657" t="s">
        <v>973</v>
      </c>
      <c r="I32" s="658"/>
    </row>
    <row r="33" spans="1:13" ht="15">
      <c r="A33" s="260">
        <v>25</v>
      </c>
      <c r="B33" s="647" t="s">
        <v>736</v>
      </c>
      <c r="C33" s="802">
        <f>'AT-8_Hon_CCH_Pry'!D38+'AT-8A_Hon_CCH_UPry'!D37</f>
        <v>1295</v>
      </c>
      <c r="D33" s="664">
        <v>1147</v>
      </c>
      <c r="E33" s="667">
        <v>8</v>
      </c>
      <c r="F33" s="465" t="s">
        <v>972</v>
      </c>
      <c r="G33" s="670" t="s">
        <v>974</v>
      </c>
      <c r="H33" s="657" t="s">
        <v>973</v>
      </c>
      <c r="I33" s="658"/>
      <c r="J33" s="658"/>
      <c r="K33" s="658"/>
      <c r="L33" s="658"/>
      <c r="M33" s="658"/>
    </row>
    <row r="34" spans="1:8" ht="15">
      <c r="A34" s="260">
        <v>26</v>
      </c>
      <c r="B34" s="647" t="s">
        <v>744</v>
      </c>
      <c r="C34" s="802">
        <f>'AT-8_Hon_CCH_Pry'!D39+'AT-8A_Hon_CCH_UPry'!D38</f>
        <v>1264</v>
      </c>
      <c r="D34" s="663">
        <v>1186</v>
      </c>
      <c r="E34" s="516">
        <v>9</v>
      </c>
      <c r="F34" s="465" t="s">
        <v>972</v>
      </c>
      <c r="G34" s="670" t="s">
        <v>974</v>
      </c>
      <c r="H34" s="657" t="s">
        <v>973</v>
      </c>
    </row>
    <row r="35" spans="1:8" ht="15">
      <c r="A35" s="262">
        <v>27</v>
      </c>
      <c r="B35" s="647" t="s">
        <v>745</v>
      </c>
      <c r="C35" s="802">
        <f>'AT-8_Hon_CCH_Pry'!D40+'AT-8A_Hon_CCH_UPry'!D39</f>
        <v>2476</v>
      </c>
      <c r="D35" s="663">
        <v>2358</v>
      </c>
      <c r="E35" s="516">
        <v>9</v>
      </c>
      <c r="F35" s="465" t="s">
        <v>972</v>
      </c>
      <c r="G35" s="670" t="s">
        <v>974</v>
      </c>
      <c r="H35" s="657" t="s">
        <v>973</v>
      </c>
    </row>
    <row r="36" spans="1:8" ht="20.25" customHeight="1">
      <c r="A36" s="450"/>
      <c r="B36" s="450" t="s">
        <v>19</v>
      </c>
      <c r="C36" s="669">
        <f>SUM(C9:C35)</f>
        <v>89347</v>
      </c>
      <c r="D36" s="669">
        <f>SUM(D9:D35)</f>
        <v>84448</v>
      </c>
      <c r="E36" s="516">
        <f>SUM(E9:E35)</f>
        <v>238</v>
      </c>
      <c r="F36" s="465" t="s">
        <v>972</v>
      </c>
      <c r="G36" s="670" t="s">
        <v>974</v>
      </c>
      <c r="H36" s="657" t="s">
        <v>973</v>
      </c>
    </row>
    <row r="37" ht="55.5" customHeight="1"/>
    <row r="38" spans="1:8" ht="12.75">
      <c r="A38" s="658"/>
      <c r="B38" s="658"/>
      <c r="C38" s="658"/>
      <c r="D38" s="658"/>
      <c r="E38" s="658"/>
      <c r="F38" s="1061" t="s">
        <v>13</v>
      </c>
      <c r="G38" s="1061"/>
      <c r="H38" s="659"/>
    </row>
    <row r="39" spans="1:8" ht="12.75">
      <c r="A39" s="658"/>
      <c r="B39" s="658"/>
      <c r="C39" s="658"/>
      <c r="D39" s="658"/>
      <c r="E39" s="658"/>
      <c r="F39" s="1061" t="s">
        <v>14</v>
      </c>
      <c r="G39" s="1061"/>
      <c r="H39" s="659"/>
    </row>
    <row r="40" spans="1:8" ht="17.25" customHeight="1">
      <c r="A40" s="658"/>
      <c r="B40" s="658"/>
      <c r="C40" s="658"/>
      <c r="D40" s="658"/>
      <c r="E40" s="658"/>
      <c r="F40" s="1062" t="s">
        <v>727</v>
      </c>
      <c r="G40" s="1062"/>
      <c r="H40" s="1062"/>
    </row>
    <row r="41" spans="1:8" ht="12.75">
      <c r="A41" s="658" t="s">
        <v>12</v>
      </c>
      <c r="B41"/>
      <c r="C41" s="658"/>
      <c r="D41" s="658"/>
      <c r="E41" s="658"/>
      <c r="F41" s="1063" t="s">
        <v>84</v>
      </c>
      <c r="G41" s="1063"/>
      <c r="H41" s="658"/>
    </row>
  </sheetData>
  <sheetProtection/>
  <mergeCells count="8">
    <mergeCell ref="F38:G38"/>
    <mergeCell ref="F39:G39"/>
    <mergeCell ref="F40:H40"/>
    <mergeCell ref="F41:G41"/>
    <mergeCell ref="A1:F1"/>
    <mergeCell ref="A2:G2"/>
    <mergeCell ref="A4:G4"/>
    <mergeCell ref="F6:H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S40"/>
  <sheetViews>
    <sheetView view="pageBreakPreview" zoomScale="90" zoomScaleSheetLayoutView="90" zoomScalePageLayoutView="0" workbookViewId="0" topLeftCell="A10">
      <selection activeCell="C26" sqref="C26"/>
    </sheetView>
  </sheetViews>
  <sheetFormatPr defaultColWidth="9.140625" defaultRowHeight="12.75"/>
  <cols>
    <col min="1" max="1" width="10.28125" style="0" customWidth="1"/>
    <col min="2" max="2" width="12.00390625" style="0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0" ht="15">
      <c r="D1" s="853"/>
      <c r="E1" s="853"/>
      <c r="H1" s="42"/>
      <c r="I1" s="967" t="s">
        <v>68</v>
      </c>
      <c r="J1" s="967"/>
    </row>
    <row r="2" spans="1:10" ht="15">
      <c r="A2" s="969" t="s">
        <v>0</v>
      </c>
      <c r="B2" s="969"/>
      <c r="C2" s="969"/>
      <c r="D2" s="969"/>
      <c r="E2" s="969"/>
      <c r="F2" s="969"/>
      <c r="G2" s="969"/>
      <c r="H2" s="969"/>
      <c r="I2" s="969"/>
      <c r="J2" s="969"/>
    </row>
    <row r="3" spans="1:10" ht="20.25">
      <c r="A3" s="902" t="s">
        <v>859</v>
      </c>
      <c r="B3" s="902"/>
      <c r="C3" s="902"/>
      <c r="D3" s="902"/>
      <c r="E3" s="902"/>
      <c r="F3" s="902"/>
      <c r="G3" s="902"/>
      <c r="H3" s="902"/>
      <c r="I3" s="902"/>
      <c r="J3" s="902"/>
    </row>
    <row r="4" ht="10.5" customHeight="1"/>
    <row r="5" spans="1:11" s="15" customFormat="1" ht="24.75" customHeight="1">
      <c r="A5" s="1064" t="s">
        <v>438</v>
      </c>
      <c r="B5" s="1064"/>
      <c r="C5" s="1064"/>
      <c r="D5" s="1064"/>
      <c r="E5" s="1064"/>
      <c r="F5" s="1064"/>
      <c r="G5" s="1064"/>
      <c r="H5" s="1064"/>
      <c r="I5" s="1064"/>
      <c r="J5" s="1064"/>
      <c r="K5" s="1064"/>
    </row>
    <row r="6" spans="1:10" s="15" customFormat="1" ht="15.75" customHeight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1" s="15" customFormat="1" ht="12.75">
      <c r="A7" s="35" t="s">
        <v>634</v>
      </c>
      <c r="B7" s="35"/>
      <c r="E7" s="1001"/>
      <c r="F7" s="1001"/>
      <c r="G7" s="1001"/>
      <c r="H7" s="1001"/>
      <c r="I7" s="1001" t="s">
        <v>975</v>
      </c>
      <c r="J7" s="1001"/>
      <c r="K7" s="1001"/>
    </row>
    <row r="8" spans="3:10" s="13" customFormat="1" ht="15.75" hidden="1">
      <c r="C8" s="969" t="s">
        <v>16</v>
      </c>
      <c r="D8" s="969"/>
      <c r="E8" s="969"/>
      <c r="F8" s="969"/>
      <c r="G8" s="969"/>
      <c r="H8" s="969"/>
      <c r="I8" s="969"/>
      <c r="J8" s="969"/>
    </row>
    <row r="9" spans="1:19" ht="24" customHeight="1">
      <c r="A9" s="963" t="s">
        <v>24</v>
      </c>
      <c r="B9" s="963" t="s">
        <v>58</v>
      </c>
      <c r="C9" s="894" t="s">
        <v>464</v>
      </c>
      <c r="D9" s="896"/>
      <c r="E9" s="894" t="s">
        <v>38</v>
      </c>
      <c r="F9" s="896"/>
      <c r="G9" s="894" t="s">
        <v>39</v>
      </c>
      <c r="H9" s="896"/>
      <c r="I9" s="871" t="s">
        <v>106</v>
      </c>
      <c r="J9" s="871"/>
      <c r="K9" s="963" t="s">
        <v>260</v>
      </c>
      <c r="R9" s="9"/>
      <c r="S9" s="12"/>
    </row>
    <row r="10" spans="1:11" s="14" customFormat="1" ht="42" customHeight="1">
      <c r="A10" s="964"/>
      <c r="B10" s="964"/>
      <c r="C10" s="5" t="s">
        <v>40</v>
      </c>
      <c r="D10" s="5" t="s">
        <v>105</v>
      </c>
      <c r="E10" s="5" t="s">
        <v>40</v>
      </c>
      <c r="F10" s="5" t="s">
        <v>105</v>
      </c>
      <c r="G10" s="5" t="s">
        <v>40</v>
      </c>
      <c r="H10" s="5" t="s">
        <v>105</v>
      </c>
      <c r="I10" s="5" t="s">
        <v>142</v>
      </c>
      <c r="J10" s="5" t="s">
        <v>143</v>
      </c>
      <c r="K10" s="964"/>
    </row>
    <row r="11" spans="1:11" ht="12.75">
      <c r="A11" s="143">
        <v>1</v>
      </c>
      <c r="B11" s="143">
        <v>2</v>
      </c>
      <c r="C11" s="143">
        <v>3</v>
      </c>
      <c r="D11" s="143">
        <v>4</v>
      </c>
      <c r="E11" s="143">
        <v>5</v>
      </c>
      <c r="F11" s="143">
        <v>6</v>
      </c>
      <c r="G11" s="143">
        <v>7</v>
      </c>
      <c r="H11" s="143">
        <v>8</v>
      </c>
      <c r="I11" s="143">
        <v>9</v>
      </c>
      <c r="J11" s="143">
        <v>10</v>
      </c>
      <c r="K11" s="3">
        <v>11</v>
      </c>
    </row>
    <row r="12" spans="1:11" ht="17.25" customHeight="1">
      <c r="A12" s="8">
        <v>1</v>
      </c>
      <c r="B12" s="18" t="s">
        <v>375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/>
    </row>
    <row r="13" spans="1:11" ht="17.25" customHeight="1">
      <c r="A13" s="8">
        <v>2</v>
      </c>
      <c r="B13" s="18" t="s">
        <v>376</v>
      </c>
      <c r="C13" s="9">
        <v>11586</v>
      </c>
      <c r="D13" s="266">
        <v>6950.4</v>
      </c>
      <c r="E13" s="9">
        <v>11586</v>
      </c>
      <c r="F13" s="266">
        <v>6950.4</v>
      </c>
      <c r="G13" s="9">
        <v>0</v>
      </c>
      <c r="H13" s="9">
        <v>0</v>
      </c>
      <c r="I13" s="9">
        <v>0</v>
      </c>
      <c r="J13" s="9">
        <v>0</v>
      </c>
      <c r="K13" s="9"/>
    </row>
    <row r="14" spans="1:13" ht="17.25" customHeight="1">
      <c r="A14" s="8">
        <v>3</v>
      </c>
      <c r="B14" s="18" t="s">
        <v>377</v>
      </c>
      <c r="C14" s="9">
        <v>13363</v>
      </c>
      <c r="D14" s="266">
        <v>8017.8</v>
      </c>
      <c r="E14" s="9">
        <v>13363</v>
      </c>
      <c r="F14" s="9">
        <v>8017.8</v>
      </c>
      <c r="G14" s="9">
        <v>0</v>
      </c>
      <c r="H14" s="9">
        <v>0</v>
      </c>
      <c r="I14" s="9">
        <v>0</v>
      </c>
      <c r="J14" s="9">
        <v>0</v>
      </c>
      <c r="K14" s="9"/>
      <c r="M14" s="278"/>
    </row>
    <row r="15" spans="1:11" ht="17.25" customHeight="1">
      <c r="A15" s="8">
        <v>4</v>
      </c>
      <c r="B15" s="18" t="s">
        <v>378</v>
      </c>
      <c r="C15" s="9">
        <v>13364</v>
      </c>
      <c r="D15" s="266">
        <v>8078.4</v>
      </c>
      <c r="E15" s="9">
        <v>13424</v>
      </c>
      <c r="F15" s="266">
        <v>8048.4</v>
      </c>
      <c r="G15" s="9">
        <f>C15-E15</f>
        <v>-60</v>
      </c>
      <c r="H15" s="266">
        <f>D15-F15</f>
        <v>30</v>
      </c>
      <c r="I15" s="9">
        <v>0</v>
      </c>
      <c r="J15" s="9">
        <v>0</v>
      </c>
      <c r="K15" s="9"/>
    </row>
    <row r="16" spans="1:11" ht="17.25" customHeight="1">
      <c r="A16" s="8">
        <v>5</v>
      </c>
      <c r="B16" s="18" t="s">
        <v>379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/>
    </row>
    <row r="17" spans="1:14" ht="17.25" customHeight="1">
      <c r="A17" s="8">
        <v>6</v>
      </c>
      <c r="B17" s="18" t="s">
        <v>380</v>
      </c>
      <c r="C17" s="9">
        <v>8953</v>
      </c>
      <c r="D17" s="9">
        <v>9352.15</v>
      </c>
      <c r="E17" s="9">
        <v>6893</v>
      </c>
      <c r="F17" s="266">
        <v>7474.65</v>
      </c>
      <c r="G17" s="9">
        <f>C17-E17</f>
        <v>2060</v>
      </c>
      <c r="H17" s="266">
        <f>D17-F17</f>
        <v>1877.5</v>
      </c>
      <c r="I17" s="9">
        <v>0</v>
      </c>
      <c r="J17" s="266">
        <v>0</v>
      </c>
      <c r="K17" s="9"/>
      <c r="N17" s="278"/>
    </row>
    <row r="18" spans="1:11" ht="17.25" customHeight="1">
      <c r="A18" s="8">
        <v>7</v>
      </c>
      <c r="B18" s="18" t="s">
        <v>381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/>
    </row>
    <row r="19" spans="1:11" s="12" customFormat="1" ht="14.25" customHeight="1">
      <c r="A19" s="8">
        <v>8</v>
      </c>
      <c r="B19" s="18" t="s">
        <v>275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/>
    </row>
    <row r="20" spans="1:11" s="12" customFormat="1" ht="14.25" customHeight="1">
      <c r="A20" s="8">
        <v>9</v>
      </c>
      <c r="B20" s="18" t="s">
        <v>352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/>
    </row>
    <row r="21" spans="1:11" s="12" customFormat="1" ht="14.25" customHeight="1">
      <c r="A21" s="8">
        <v>10</v>
      </c>
      <c r="B21" s="18" t="s">
        <v>475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/>
    </row>
    <row r="22" spans="1:11" s="12" customFormat="1" ht="14.25" customHeight="1">
      <c r="A22" s="8">
        <v>11</v>
      </c>
      <c r="B22" s="18" t="s">
        <v>639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/>
    </row>
    <row r="23" spans="1:11" s="12" customFormat="1" ht="14.25" customHeight="1">
      <c r="A23" s="8">
        <v>12</v>
      </c>
      <c r="B23" s="18" t="s">
        <v>783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/>
    </row>
    <row r="24" spans="1:11" s="12" customFormat="1" ht="15.75" customHeight="1">
      <c r="A24" s="3" t="s">
        <v>19</v>
      </c>
      <c r="B24" s="9"/>
      <c r="C24" s="9">
        <f>SUM(C13:C21)</f>
        <v>47266</v>
      </c>
      <c r="D24" s="9">
        <f aca="true" t="shared" si="0" ref="D24:J24">SUM(D13:D21)</f>
        <v>32398.75</v>
      </c>
      <c r="E24" s="9">
        <f t="shared" si="0"/>
        <v>45266</v>
      </c>
      <c r="F24" s="266">
        <f t="shared" si="0"/>
        <v>30491.25</v>
      </c>
      <c r="G24" s="9">
        <f t="shared" si="0"/>
        <v>2000</v>
      </c>
      <c r="H24" s="266">
        <f t="shared" si="0"/>
        <v>1907.5</v>
      </c>
      <c r="I24" s="9">
        <f t="shared" si="0"/>
        <v>0</v>
      </c>
      <c r="J24" s="9">
        <f t="shared" si="0"/>
        <v>0</v>
      </c>
      <c r="K24" s="9"/>
    </row>
    <row r="25" s="12" customFormat="1" ht="12.75">
      <c r="A25" s="10"/>
    </row>
    <row r="26" spans="1:15" s="12" customFormat="1" ht="30.75" customHeight="1">
      <c r="A26" s="10"/>
      <c r="O26" s="279"/>
    </row>
    <row r="27" s="12" customFormat="1" ht="12.75">
      <c r="A27" s="10"/>
    </row>
    <row r="28" spans="2:16" s="15" customFormat="1" ht="13.5" customHeight="1"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</row>
    <row r="29" spans="1:16" s="15" customFormat="1" ht="12.75" customHeight="1">
      <c r="A29" s="83"/>
      <c r="B29" s="83"/>
      <c r="C29" s="83"/>
      <c r="D29" s="83"/>
      <c r="E29" s="83"/>
      <c r="F29" s="14"/>
      <c r="G29" s="14"/>
      <c r="H29" s="881" t="s">
        <v>13</v>
      </c>
      <c r="I29" s="881"/>
      <c r="J29" s="83"/>
      <c r="K29" s="14"/>
      <c r="L29" s="83"/>
      <c r="M29" s="83"/>
      <c r="N29" s="83"/>
      <c r="O29" s="83"/>
      <c r="P29" s="83"/>
    </row>
    <row r="30" spans="1:16" s="15" customFormat="1" ht="12.75" customHeight="1">
      <c r="A30" s="83"/>
      <c r="B30" s="83"/>
      <c r="C30" s="83"/>
      <c r="D30" s="83"/>
      <c r="E30" s="83"/>
      <c r="F30" s="83"/>
      <c r="G30" s="881" t="s">
        <v>14</v>
      </c>
      <c r="H30" s="881"/>
      <c r="I30" s="881"/>
      <c r="J30" s="881"/>
      <c r="K30" s="83"/>
      <c r="L30" s="83"/>
      <c r="M30" s="83"/>
      <c r="N30" s="83"/>
      <c r="O30" s="83"/>
      <c r="P30" s="83"/>
    </row>
    <row r="31" spans="1:11" s="15" customFormat="1" ht="12.75">
      <c r="A31" s="14" t="s">
        <v>22</v>
      </c>
      <c r="B31" s="14"/>
      <c r="C31" s="14"/>
      <c r="D31" s="14"/>
      <c r="E31" s="14"/>
      <c r="F31" s="881" t="s">
        <v>637</v>
      </c>
      <c r="G31" s="881"/>
      <c r="H31" s="881"/>
      <c r="I31" s="881"/>
      <c r="J31" s="881"/>
      <c r="K31" s="881"/>
    </row>
    <row r="32" spans="1:11" s="15" customFormat="1" ht="12.75">
      <c r="A32" s="14"/>
      <c r="F32" s="14"/>
      <c r="G32" s="14"/>
      <c r="H32" s="1" t="s">
        <v>84</v>
      </c>
      <c r="I32" s="1"/>
      <c r="J32" s="1"/>
      <c r="K32" s="1"/>
    </row>
    <row r="33" spans="1:10" ht="12.75">
      <c r="A33" s="965"/>
      <c r="B33" s="965"/>
      <c r="C33" s="965"/>
      <c r="D33" s="965"/>
      <c r="E33" s="965"/>
      <c r="F33" s="965"/>
      <c r="G33" s="965"/>
      <c r="H33" s="965"/>
      <c r="I33" s="965"/>
      <c r="J33" s="965"/>
    </row>
    <row r="40" ht="12.75">
      <c r="M40">
        <f>SUM(M12:M39)</f>
        <v>0</v>
      </c>
    </row>
  </sheetData>
  <sheetProtection/>
  <mergeCells count="19">
    <mergeCell ref="G9:H9"/>
    <mergeCell ref="I9:J9"/>
    <mergeCell ref="E7:H7"/>
    <mergeCell ref="I7:K7"/>
    <mergeCell ref="D1:E1"/>
    <mergeCell ref="I1:J1"/>
    <mergeCell ref="A2:J2"/>
    <mergeCell ref="A3:J3"/>
    <mergeCell ref="A5:K5"/>
    <mergeCell ref="K9:K10"/>
    <mergeCell ref="H29:I29"/>
    <mergeCell ref="G30:J30"/>
    <mergeCell ref="F31:K31"/>
    <mergeCell ref="A33:J33"/>
    <mergeCell ref="C8:J8"/>
    <mergeCell ref="A9:A10"/>
    <mergeCell ref="B9:B10"/>
    <mergeCell ref="C9:D9"/>
    <mergeCell ref="E9:F9"/>
  </mergeCells>
  <printOptions horizontalCentered="1"/>
  <pageMargins left="0.7086614173228347" right="0.7086614173228347" top="0.94" bottom="0" header="1.12" footer="0.31496062992125984"/>
  <pageSetup fitToHeight="1" fitToWidth="1" horizontalDpi="600" verticalDpi="600" orientation="landscape" paperSize="9" scale="8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S51"/>
  <sheetViews>
    <sheetView view="pageBreakPreview" zoomScale="90" zoomScaleSheetLayoutView="90" zoomScalePageLayoutView="0" workbookViewId="0" topLeftCell="A1">
      <selection activeCell="B12" sqref="B12:B38"/>
    </sheetView>
  </sheetViews>
  <sheetFormatPr defaultColWidth="9.140625" defaultRowHeight="12.75"/>
  <cols>
    <col min="2" max="2" width="15.140625" style="0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0" ht="15">
      <c r="D1" s="853"/>
      <c r="E1" s="853"/>
      <c r="H1" s="42"/>
      <c r="I1" s="967" t="s">
        <v>382</v>
      </c>
      <c r="J1" s="967"/>
    </row>
    <row r="2" spans="1:10" ht="15">
      <c r="A2" s="969" t="s">
        <v>0</v>
      </c>
      <c r="B2" s="969"/>
      <c r="C2" s="969"/>
      <c r="D2" s="969"/>
      <c r="E2" s="969"/>
      <c r="F2" s="969"/>
      <c r="G2" s="969"/>
      <c r="H2" s="969"/>
      <c r="I2" s="969"/>
      <c r="J2" s="969"/>
    </row>
    <row r="3" spans="1:10" ht="20.25">
      <c r="A3" s="902" t="s">
        <v>859</v>
      </c>
      <c r="B3" s="902"/>
      <c r="C3" s="902"/>
      <c r="D3" s="902"/>
      <c r="E3" s="902"/>
      <c r="F3" s="902"/>
      <c r="G3" s="902"/>
      <c r="H3" s="902"/>
      <c r="I3" s="902"/>
      <c r="J3" s="902"/>
    </row>
    <row r="4" ht="10.5" customHeight="1"/>
    <row r="5" spans="1:11" s="15" customFormat="1" ht="18.75" customHeight="1">
      <c r="A5" s="1064" t="s">
        <v>439</v>
      </c>
      <c r="B5" s="1064"/>
      <c r="C5" s="1064"/>
      <c r="D5" s="1064"/>
      <c r="E5" s="1064"/>
      <c r="F5" s="1064"/>
      <c r="G5" s="1064"/>
      <c r="H5" s="1064"/>
      <c r="I5" s="1064"/>
      <c r="J5" s="1064"/>
      <c r="K5" s="1064"/>
    </row>
    <row r="6" spans="1:10" s="15" customFormat="1" ht="15.75" customHeight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1" s="15" customFormat="1" ht="12.75">
      <c r="A7" s="35" t="s">
        <v>634</v>
      </c>
      <c r="B7" s="35"/>
      <c r="E7" s="1001"/>
      <c r="F7" s="1001"/>
      <c r="G7" s="1001"/>
      <c r="H7" s="1001"/>
      <c r="I7" s="1001" t="s">
        <v>976</v>
      </c>
      <c r="J7" s="1001"/>
      <c r="K7" s="1001"/>
    </row>
    <row r="8" spans="3:10" s="13" customFormat="1" ht="15.75" hidden="1">
      <c r="C8" s="969" t="s">
        <v>16</v>
      </c>
      <c r="D8" s="969"/>
      <c r="E8" s="969"/>
      <c r="F8" s="969"/>
      <c r="G8" s="969"/>
      <c r="H8" s="969"/>
      <c r="I8" s="969"/>
      <c r="J8" s="969"/>
    </row>
    <row r="9" spans="1:19" ht="27.75" customHeight="1">
      <c r="A9" s="963" t="s">
        <v>24</v>
      </c>
      <c r="B9" s="963" t="s">
        <v>37</v>
      </c>
      <c r="C9" s="894" t="s">
        <v>641</v>
      </c>
      <c r="D9" s="896"/>
      <c r="E9" s="894" t="s">
        <v>38</v>
      </c>
      <c r="F9" s="896"/>
      <c r="G9" s="894" t="s">
        <v>39</v>
      </c>
      <c r="H9" s="896"/>
      <c r="I9" s="871" t="s">
        <v>106</v>
      </c>
      <c r="J9" s="871"/>
      <c r="K9" s="963" t="s">
        <v>260</v>
      </c>
      <c r="R9" s="9"/>
      <c r="S9" s="12"/>
    </row>
    <row r="10" spans="1:11" s="14" customFormat="1" ht="52.5" customHeight="1">
      <c r="A10" s="964"/>
      <c r="B10" s="964"/>
      <c r="C10" s="5" t="s">
        <v>40</v>
      </c>
      <c r="D10" s="5" t="s">
        <v>105</v>
      </c>
      <c r="E10" s="5" t="s">
        <v>40</v>
      </c>
      <c r="F10" s="5" t="s">
        <v>643</v>
      </c>
      <c r="G10" s="5" t="s">
        <v>40</v>
      </c>
      <c r="H10" s="5" t="s">
        <v>644</v>
      </c>
      <c r="I10" s="5" t="s">
        <v>142</v>
      </c>
      <c r="J10" s="5" t="s">
        <v>143</v>
      </c>
      <c r="K10" s="964"/>
    </row>
    <row r="11" spans="1:11" ht="12.75">
      <c r="A11" s="143">
        <v>1</v>
      </c>
      <c r="B11" s="143">
        <v>2</v>
      </c>
      <c r="C11" s="143">
        <v>3</v>
      </c>
      <c r="D11" s="143">
        <v>4</v>
      </c>
      <c r="E11" s="143">
        <v>5</v>
      </c>
      <c r="F11" s="143">
        <v>6</v>
      </c>
      <c r="G11" s="143">
        <v>7</v>
      </c>
      <c r="H11" s="143">
        <v>8</v>
      </c>
      <c r="I11" s="143">
        <v>9</v>
      </c>
      <c r="J11" s="143">
        <v>10</v>
      </c>
      <c r="K11" s="3">
        <v>11</v>
      </c>
    </row>
    <row r="12" spans="1:15" ht="23.25">
      <c r="A12" s="262">
        <v>1</v>
      </c>
      <c r="B12" s="647" t="s">
        <v>898</v>
      </c>
      <c r="C12" s="271">
        <v>2015</v>
      </c>
      <c r="D12" s="269">
        <v>1378.2600000000002</v>
      </c>
      <c r="E12" s="9">
        <v>1996</v>
      </c>
      <c r="F12" s="272">
        <v>1362.9600000000003</v>
      </c>
      <c r="G12" s="271">
        <v>19</v>
      </c>
      <c r="H12" s="272">
        <f aca="true" t="shared" si="0" ref="H12:H38">D12-F12</f>
        <v>15.299999999999955</v>
      </c>
      <c r="I12" s="273">
        <v>0</v>
      </c>
      <c r="J12" s="272">
        <v>0</v>
      </c>
      <c r="K12" s="274"/>
      <c r="L12" s="278"/>
      <c r="M12" s="278"/>
      <c r="N12" s="512"/>
      <c r="O12" s="278"/>
    </row>
    <row r="13" spans="1:15" ht="23.25">
      <c r="A13" s="260">
        <v>2</v>
      </c>
      <c r="B13" s="647" t="s">
        <v>899</v>
      </c>
      <c r="C13" s="271">
        <v>2069</v>
      </c>
      <c r="D13" s="269">
        <v>1415.1960000000001</v>
      </c>
      <c r="E13" s="9">
        <v>2042</v>
      </c>
      <c r="F13" s="272">
        <v>1393.6960000000001</v>
      </c>
      <c r="G13" s="271">
        <v>27</v>
      </c>
      <c r="H13" s="272">
        <f t="shared" si="0"/>
        <v>21.5</v>
      </c>
      <c r="I13" s="273">
        <v>0</v>
      </c>
      <c r="J13" s="272">
        <v>0</v>
      </c>
      <c r="K13" s="274"/>
      <c r="L13" s="278"/>
      <c r="M13" s="278"/>
      <c r="N13" s="512"/>
      <c r="O13" s="278"/>
    </row>
    <row r="14" spans="1:15" ht="23.25">
      <c r="A14" s="260">
        <v>3</v>
      </c>
      <c r="B14" s="647" t="s">
        <v>839</v>
      </c>
      <c r="C14" s="271">
        <v>2031</v>
      </c>
      <c r="D14" s="269">
        <v>1389.2040000000002</v>
      </c>
      <c r="E14" s="9">
        <v>1984</v>
      </c>
      <c r="F14" s="272">
        <v>1281.5040000000001</v>
      </c>
      <c r="G14" s="271">
        <v>47</v>
      </c>
      <c r="H14" s="272">
        <f t="shared" si="0"/>
        <v>107.70000000000005</v>
      </c>
      <c r="I14" s="273">
        <v>0</v>
      </c>
      <c r="J14" s="272">
        <v>0</v>
      </c>
      <c r="K14" s="274"/>
      <c r="L14" s="278"/>
      <c r="M14" s="278"/>
      <c r="N14" s="512"/>
      <c r="O14" s="278"/>
    </row>
    <row r="15" spans="1:15" ht="23.25">
      <c r="A15" s="260">
        <v>4</v>
      </c>
      <c r="B15" s="647" t="s">
        <v>743</v>
      </c>
      <c r="C15" s="271">
        <v>2684</v>
      </c>
      <c r="D15" s="269">
        <v>1835.8560000000002</v>
      </c>
      <c r="E15" s="9">
        <v>2530</v>
      </c>
      <c r="F15" s="272">
        <v>1534.5</v>
      </c>
      <c r="G15" s="271">
        <v>154</v>
      </c>
      <c r="H15" s="272">
        <f t="shared" si="0"/>
        <v>301.3560000000002</v>
      </c>
      <c r="I15" s="273">
        <v>0</v>
      </c>
      <c r="J15" s="272">
        <v>0</v>
      </c>
      <c r="K15" s="274"/>
      <c r="L15" s="278"/>
      <c r="M15" s="278"/>
      <c r="N15" s="512"/>
      <c r="O15" s="278"/>
    </row>
    <row r="16" spans="1:15" ht="23.25">
      <c r="A16" s="260">
        <v>5</v>
      </c>
      <c r="B16" s="647" t="s">
        <v>748</v>
      </c>
      <c r="C16" s="271">
        <v>3032</v>
      </c>
      <c r="D16" s="269">
        <v>2073.8880000000004</v>
      </c>
      <c r="E16" s="9">
        <v>3018</v>
      </c>
      <c r="F16" s="272">
        <v>2060.088</v>
      </c>
      <c r="G16" s="271">
        <v>14</v>
      </c>
      <c r="H16" s="272">
        <f t="shared" si="0"/>
        <v>13.800000000000182</v>
      </c>
      <c r="I16" s="273">
        <v>0</v>
      </c>
      <c r="J16" s="272">
        <v>0</v>
      </c>
      <c r="K16" s="274"/>
      <c r="L16" s="278"/>
      <c r="M16" s="278"/>
      <c r="N16" s="512"/>
      <c r="O16" s="278"/>
    </row>
    <row r="17" spans="1:15" ht="23.25">
      <c r="A17" s="260">
        <v>6</v>
      </c>
      <c r="B17" s="647" t="s">
        <v>747</v>
      </c>
      <c r="C17" s="271">
        <v>2732</v>
      </c>
      <c r="D17" s="269">
        <v>1868.688</v>
      </c>
      <c r="E17" s="9">
        <v>2692</v>
      </c>
      <c r="F17" s="272">
        <v>1845.488</v>
      </c>
      <c r="G17" s="271">
        <v>40</v>
      </c>
      <c r="H17" s="272">
        <f t="shared" si="0"/>
        <v>23.200000000000045</v>
      </c>
      <c r="I17" s="273">
        <v>0</v>
      </c>
      <c r="J17" s="272">
        <v>0</v>
      </c>
      <c r="K17" s="274"/>
      <c r="L17" s="278"/>
      <c r="M17" s="278"/>
      <c r="N17" s="512"/>
      <c r="O17" s="278"/>
    </row>
    <row r="18" spans="1:15" ht="23.25">
      <c r="A18" s="260">
        <v>7</v>
      </c>
      <c r="B18" s="647" t="s">
        <v>737</v>
      </c>
      <c r="C18" s="271">
        <v>1020</v>
      </c>
      <c r="D18" s="269">
        <v>697.6800000000001</v>
      </c>
      <c r="E18" s="9">
        <v>1016</v>
      </c>
      <c r="F18" s="272">
        <v>693.08</v>
      </c>
      <c r="G18" s="271">
        <v>4</v>
      </c>
      <c r="H18" s="272">
        <f t="shared" si="0"/>
        <v>4.600000000000023</v>
      </c>
      <c r="I18" s="273">
        <v>0</v>
      </c>
      <c r="J18" s="272">
        <v>0</v>
      </c>
      <c r="K18" s="274"/>
      <c r="L18" s="278"/>
      <c r="M18" s="511"/>
      <c r="N18" s="512"/>
      <c r="O18" s="278"/>
    </row>
    <row r="19" spans="1:15" ht="23.25">
      <c r="A19" s="260">
        <v>8</v>
      </c>
      <c r="B19" s="647" t="s">
        <v>749</v>
      </c>
      <c r="C19" s="271">
        <v>1350</v>
      </c>
      <c r="D19" s="275">
        <v>923.4000000000001</v>
      </c>
      <c r="E19" s="9">
        <v>1289</v>
      </c>
      <c r="F19" s="272">
        <v>872.3000000000001</v>
      </c>
      <c r="G19" s="271">
        <v>61</v>
      </c>
      <c r="H19" s="272">
        <f t="shared" si="0"/>
        <v>51.10000000000002</v>
      </c>
      <c r="I19" s="273">
        <v>0</v>
      </c>
      <c r="J19" s="272">
        <v>0</v>
      </c>
      <c r="K19" s="274"/>
      <c r="L19" s="278"/>
      <c r="M19" s="278"/>
      <c r="N19" s="512"/>
      <c r="O19" s="278"/>
    </row>
    <row r="20" spans="1:15" ht="23.25">
      <c r="A20" s="260">
        <v>9</v>
      </c>
      <c r="B20" s="647" t="s">
        <v>834</v>
      </c>
      <c r="C20" s="271">
        <v>2428</v>
      </c>
      <c r="D20" s="269">
        <v>1660.7520000000002</v>
      </c>
      <c r="E20" s="9">
        <v>2223</v>
      </c>
      <c r="F20" s="272">
        <v>1499.0520000000001</v>
      </c>
      <c r="G20" s="271">
        <v>205</v>
      </c>
      <c r="H20" s="272">
        <f t="shared" si="0"/>
        <v>161.70000000000005</v>
      </c>
      <c r="I20" s="273">
        <v>0</v>
      </c>
      <c r="J20" s="272">
        <v>0</v>
      </c>
      <c r="K20" s="274"/>
      <c r="L20" s="278"/>
      <c r="M20" s="278"/>
      <c r="N20" s="512"/>
      <c r="O20" s="278"/>
    </row>
    <row r="21" spans="1:15" ht="23.25">
      <c r="A21" s="260">
        <v>10</v>
      </c>
      <c r="B21" s="647" t="s">
        <v>739</v>
      </c>
      <c r="C21" s="271">
        <v>600</v>
      </c>
      <c r="D21" s="269">
        <v>410.40000000000003</v>
      </c>
      <c r="E21" s="9">
        <v>487</v>
      </c>
      <c r="F21" s="272">
        <v>348</v>
      </c>
      <c r="G21" s="271">
        <v>113</v>
      </c>
      <c r="H21" s="272">
        <f t="shared" si="0"/>
        <v>62.400000000000034</v>
      </c>
      <c r="I21" s="273">
        <v>0</v>
      </c>
      <c r="J21" s="272">
        <v>0</v>
      </c>
      <c r="K21" s="274"/>
      <c r="L21" s="278"/>
      <c r="M21" s="278"/>
      <c r="N21" s="512"/>
      <c r="O21" s="278"/>
    </row>
    <row r="22" spans="1:15" ht="23.25">
      <c r="A22" s="260">
        <v>11</v>
      </c>
      <c r="B22" s="647" t="s">
        <v>900</v>
      </c>
      <c r="C22" s="271">
        <v>863</v>
      </c>
      <c r="D22" s="269">
        <v>590.292</v>
      </c>
      <c r="E22" s="9">
        <v>687</v>
      </c>
      <c r="F22" s="272">
        <v>425.36</v>
      </c>
      <c r="G22" s="271">
        <v>176</v>
      </c>
      <c r="H22" s="272">
        <f t="shared" si="0"/>
        <v>164.93200000000002</v>
      </c>
      <c r="I22" s="273">
        <v>0</v>
      </c>
      <c r="J22" s="272">
        <v>0</v>
      </c>
      <c r="K22" s="274"/>
      <c r="L22" s="278"/>
      <c r="M22" s="278"/>
      <c r="N22" s="512"/>
      <c r="O22" s="278"/>
    </row>
    <row r="23" spans="1:15" ht="23.25">
      <c r="A23" s="260">
        <v>12</v>
      </c>
      <c r="B23" s="647" t="s">
        <v>731</v>
      </c>
      <c r="C23" s="271">
        <v>1995</v>
      </c>
      <c r="D23" s="269">
        <v>1364.5800000000002</v>
      </c>
      <c r="E23" s="9">
        <v>1962</v>
      </c>
      <c r="F23" s="272">
        <v>1340.2800000000002</v>
      </c>
      <c r="G23" s="271">
        <v>33</v>
      </c>
      <c r="H23" s="272">
        <f t="shared" si="0"/>
        <v>24.299999999999955</v>
      </c>
      <c r="I23" s="273">
        <v>0</v>
      </c>
      <c r="J23" s="272">
        <v>0</v>
      </c>
      <c r="K23" s="274"/>
      <c r="L23" s="278"/>
      <c r="M23" s="511"/>
      <c r="N23" s="512"/>
      <c r="O23" s="278"/>
    </row>
    <row r="24" spans="1:15" ht="23.25">
      <c r="A24" s="260">
        <v>13</v>
      </c>
      <c r="B24" s="647" t="s">
        <v>742</v>
      </c>
      <c r="C24" s="271">
        <v>1342</v>
      </c>
      <c r="D24" s="269">
        <v>917.9280000000001</v>
      </c>
      <c r="E24" s="9">
        <v>1330</v>
      </c>
      <c r="F24" s="272">
        <v>910.6280000000002</v>
      </c>
      <c r="G24" s="271">
        <v>12</v>
      </c>
      <c r="H24" s="272">
        <f t="shared" si="0"/>
        <v>7.2999999999999545</v>
      </c>
      <c r="I24" s="273">
        <v>0</v>
      </c>
      <c r="J24" s="272">
        <v>0</v>
      </c>
      <c r="K24" s="274"/>
      <c r="L24" s="278"/>
      <c r="M24" s="278"/>
      <c r="N24" s="512"/>
      <c r="O24" s="278"/>
    </row>
    <row r="25" spans="1:15" ht="23.25">
      <c r="A25" s="260">
        <v>14</v>
      </c>
      <c r="B25" s="647" t="s">
        <v>740</v>
      </c>
      <c r="C25" s="271">
        <v>1166</v>
      </c>
      <c r="D25" s="269">
        <v>797.5440000000001</v>
      </c>
      <c r="E25" s="9">
        <v>1125</v>
      </c>
      <c r="F25" s="272">
        <v>755.844</v>
      </c>
      <c r="G25" s="271">
        <v>41</v>
      </c>
      <c r="H25" s="272">
        <f t="shared" si="0"/>
        <v>41.700000000000045</v>
      </c>
      <c r="I25" s="273">
        <v>0</v>
      </c>
      <c r="J25" s="272">
        <v>0</v>
      </c>
      <c r="K25" s="274"/>
      <c r="L25" s="278"/>
      <c r="M25" s="278"/>
      <c r="N25" s="512"/>
      <c r="O25" s="278"/>
    </row>
    <row r="26" spans="1:15" ht="23.25">
      <c r="A26" s="260">
        <v>15</v>
      </c>
      <c r="B26" s="647" t="s">
        <v>734</v>
      </c>
      <c r="C26" s="271">
        <v>1553</v>
      </c>
      <c r="D26" s="269">
        <v>1062.2520000000002</v>
      </c>
      <c r="E26" s="9">
        <v>1492</v>
      </c>
      <c r="F26" s="272">
        <v>1020.1520000000002</v>
      </c>
      <c r="G26" s="271">
        <v>61</v>
      </c>
      <c r="H26" s="272">
        <f t="shared" si="0"/>
        <v>42.10000000000002</v>
      </c>
      <c r="I26" s="273">
        <v>0</v>
      </c>
      <c r="J26" s="272">
        <v>0</v>
      </c>
      <c r="K26" s="274"/>
      <c r="L26" s="278"/>
      <c r="M26" s="278"/>
      <c r="N26" s="512"/>
      <c r="O26" s="278"/>
    </row>
    <row r="27" spans="1:15" ht="23.25">
      <c r="A27" s="260">
        <v>16</v>
      </c>
      <c r="B27" s="647" t="s">
        <v>741</v>
      </c>
      <c r="C27" s="271">
        <v>1895</v>
      </c>
      <c r="D27" s="269">
        <v>1296.18</v>
      </c>
      <c r="E27" s="9">
        <v>1823</v>
      </c>
      <c r="F27" s="272">
        <v>1204.68</v>
      </c>
      <c r="G27" s="271">
        <v>72</v>
      </c>
      <c r="H27" s="272">
        <f t="shared" si="0"/>
        <v>91.5</v>
      </c>
      <c r="I27" s="273">
        <v>0</v>
      </c>
      <c r="J27" s="272">
        <v>0</v>
      </c>
      <c r="K27" s="274"/>
      <c r="L27" s="278"/>
      <c r="M27" s="278"/>
      <c r="N27" s="512"/>
      <c r="O27" s="278"/>
    </row>
    <row r="28" spans="1:15" ht="23.25">
      <c r="A28" s="260">
        <v>17</v>
      </c>
      <c r="B28" s="647" t="s">
        <v>733</v>
      </c>
      <c r="C28" s="271">
        <v>1449</v>
      </c>
      <c r="D28" s="269">
        <v>1058.15</v>
      </c>
      <c r="E28" s="9">
        <v>1426</v>
      </c>
      <c r="F28" s="272">
        <v>1046.45</v>
      </c>
      <c r="G28" s="271">
        <v>23</v>
      </c>
      <c r="H28" s="272">
        <f t="shared" si="0"/>
        <v>11.700000000000045</v>
      </c>
      <c r="I28" s="273">
        <v>0</v>
      </c>
      <c r="J28" s="272">
        <v>0</v>
      </c>
      <c r="K28" s="274"/>
      <c r="L28" s="278"/>
      <c r="M28" s="278"/>
      <c r="N28" s="512"/>
      <c r="O28" s="278"/>
    </row>
    <row r="29" spans="1:15" ht="23.25">
      <c r="A29" s="260">
        <v>18</v>
      </c>
      <c r="B29" s="647" t="s">
        <v>735</v>
      </c>
      <c r="C29" s="271">
        <v>2441</v>
      </c>
      <c r="D29" s="269">
        <v>1669.6440000000002</v>
      </c>
      <c r="E29" s="9">
        <v>2306</v>
      </c>
      <c r="F29" s="272">
        <v>1504.87</v>
      </c>
      <c r="G29" s="271">
        <v>135</v>
      </c>
      <c r="H29" s="272">
        <f t="shared" si="0"/>
        <v>164.77400000000034</v>
      </c>
      <c r="I29" s="273">
        <v>0</v>
      </c>
      <c r="J29" s="272">
        <v>0</v>
      </c>
      <c r="K29" s="274"/>
      <c r="L29" s="278"/>
      <c r="M29" s="278"/>
      <c r="N29" s="512"/>
      <c r="O29" s="278"/>
    </row>
    <row r="30" spans="1:15" ht="23.25">
      <c r="A30" s="260">
        <v>19</v>
      </c>
      <c r="B30" s="647" t="s">
        <v>732</v>
      </c>
      <c r="C30" s="271">
        <v>2151</v>
      </c>
      <c r="D30" s="269">
        <v>1471.284</v>
      </c>
      <c r="E30" s="9">
        <f>C30-G30</f>
        <v>2151</v>
      </c>
      <c r="F30" s="272">
        <v>1471.284</v>
      </c>
      <c r="G30" s="271">
        <v>0</v>
      </c>
      <c r="H30" s="272">
        <f t="shared" si="0"/>
        <v>0</v>
      </c>
      <c r="I30" s="273">
        <v>0</v>
      </c>
      <c r="J30" s="272">
        <v>0</v>
      </c>
      <c r="K30" s="274"/>
      <c r="L30" s="278"/>
      <c r="M30" s="278"/>
      <c r="N30" s="512"/>
      <c r="O30" s="278"/>
    </row>
    <row r="31" spans="1:15" ht="23.25">
      <c r="A31" s="260">
        <v>20</v>
      </c>
      <c r="B31" s="647" t="s">
        <v>836</v>
      </c>
      <c r="C31" s="271">
        <v>2397</v>
      </c>
      <c r="D31" s="269">
        <v>1639.5480000000002</v>
      </c>
      <c r="E31" s="9">
        <v>2368</v>
      </c>
      <c r="F31" s="272">
        <v>1618.7480000000003</v>
      </c>
      <c r="G31" s="271">
        <v>29</v>
      </c>
      <c r="H31" s="272">
        <f t="shared" si="0"/>
        <v>20.799999999999955</v>
      </c>
      <c r="I31" s="273">
        <v>0</v>
      </c>
      <c r="J31" s="272">
        <v>0</v>
      </c>
      <c r="K31" s="274"/>
      <c r="L31" s="278"/>
      <c r="M31" s="278"/>
      <c r="N31" s="512"/>
      <c r="O31" s="278"/>
    </row>
    <row r="32" spans="1:15" ht="23.25">
      <c r="A32" s="260">
        <v>21</v>
      </c>
      <c r="B32" s="647" t="s">
        <v>729</v>
      </c>
      <c r="C32" s="271">
        <v>1639</v>
      </c>
      <c r="D32" s="269">
        <v>1121.076</v>
      </c>
      <c r="E32" s="9">
        <f>C32-G32</f>
        <v>1538</v>
      </c>
      <c r="F32" s="272">
        <v>1087.14</v>
      </c>
      <c r="G32" s="271">
        <v>101</v>
      </c>
      <c r="H32" s="272">
        <f t="shared" si="0"/>
        <v>33.93599999999992</v>
      </c>
      <c r="I32" s="273">
        <v>0</v>
      </c>
      <c r="J32" s="272">
        <v>0</v>
      </c>
      <c r="K32" s="274"/>
      <c r="L32" s="278"/>
      <c r="M32" s="278"/>
      <c r="N32" s="512"/>
      <c r="O32" s="278"/>
    </row>
    <row r="33" spans="1:15" ht="23.25">
      <c r="A33" s="260">
        <v>22</v>
      </c>
      <c r="B33" s="647" t="s">
        <v>746</v>
      </c>
      <c r="C33" s="271">
        <v>1870</v>
      </c>
      <c r="D33" s="269">
        <v>1280.85</v>
      </c>
      <c r="E33" s="9">
        <v>1805</v>
      </c>
      <c r="F33" s="272">
        <v>1187.55</v>
      </c>
      <c r="G33" s="271">
        <v>65</v>
      </c>
      <c r="H33" s="272">
        <f t="shared" si="0"/>
        <v>93.29999999999995</v>
      </c>
      <c r="I33" s="273">
        <v>0</v>
      </c>
      <c r="J33" s="272">
        <v>0</v>
      </c>
      <c r="K33" s="274"/>
      <c r="L33" s="278"/>
      <c r="M33" s="278"/>
      <c r="N33" s="512"/>
      <c r="O33" s="278"/>
    </row>
    <row r="34" spans="1:15" ht="23.25">
      <c r="A34" s="260">
        <v>23</v>
      </c>
      <c r="B34" s="647" t="s">
        <v>738</v>
      </c>
      <c r="C34" s="271">
        <v>1407</v>
      </c>
      <c r="D34" s="269">
        <v>962.388</v>
      </c>
      <c r="E34" s="9">
        <f>C34-G34</f>
        <v>1407</v>
      </c>
      <c r="F34" s="272">
        <v>962.388</v>
      </c>
      <c r="G34" s="271">
        <v>0</v>
      </c>
      <c r="H34" s="272">
        <f t="shared" si="0"/>
        <v>0</v>
      </c>
      <c r="I34" s="273">
        <v>0</v>
      </c>
      <c r="J34" s="272">
        <v>0</v>
      </c>
      <c r="K34" s="274"/>
      <c r="L34" s="278"/>
      <c r="M34" s="278"/>
      <c r="N34" s="512"/>
      <c r="O34" s="278"/>
    </row>
    <row r="35" spans="1:15" ht="23.25">
      <c r="A35" s="260">
        <v>24</v>
      </c>
      <c r="B35" s="647" t="s">
        <v>730</v>
      </c>
      <c r="C35" s="271">
        <v>2264</v>
      </c>
      <c r="D35" s="269">
        <v>1548.576</v>
      </c>
      <c r="E35" s="9">
        <v>1910</v>
      </c>
      <c r="F35" s="272">
        <v>1327.476</v>
      </c>
      <c r="G35" s="271">
        <v>354</v>
      </c>
      <c r="H35" s="272">
        <f t="shared" si="0"/>
        <v>221.0999999999999</v>
      </c>
      <c r="I35" s="273">
        <v>0</v>
      </c>
      <c r="J35" s="272">
        <v>0</v>
      </c>
      <c r="K35" s="274"/>
      <c r="L35" s="278"/>
      <c r="M35" s="278"/>
      <c r="N35" s="512"/>
      <c r="O35" s="278"/>
    </row>
    <row r="36" spans="1:15" ht="23.25">
      <c r="A36" s="260">
        <v>25</v>
      </c>
      <c r="B36" s="647" t="s">
        <v>736</v>
      </c>
      <c r="C36" s="271">
        <v>944</v>
      </c>
      <c r="D36" s="269">
        <v>645.696</v>
      </c>
      <c r="E36" s="9">
        <f>C36-G36</f>
        <v>944</v>
      </c>
      <c r="F36" s="272">
        <v>645.696</v>
      </c>
      <c r="G36" s="271">
        <v>0</v>
      </c>
      <c r="H36" s="272">
        <f t="shared" si="0"/>
        <v>0</v>
      </c>
      <c r="I36" s="273">
        <v>0</v>
      </c>
      <c r="J36" s="272">
        <v>0</v>
      </c>
      <c r="K36" s="274"/>
      <c r="L36" s="278"/>
      <c r="M36" s="278"/>
      <c r="N36" s="512"/>
      <c r="O36" s="278"/>
    </row>
    <row r="37" spans="1:15" s="12" customFormat="1" ht="23.25">
      <c r="A37" s="260">
        <v>26</v>
      </c>
      <c r="B37" s="647" t="s">
        <v>744</v>
      </c>
      <c r="C37" s="271">
        <v>902</v>
      </c>
      <c r="D37" s="269">
        <v>616.9680000000001</v>
      </c>
      <c r="E37" s="9">
        <v>632</v>
      </c>
      <c r="F37" s="272">
        <v>411.86800000000005</v>
      </c>
      <c r="G37" s="271">
        <v>270</v>
      </c>
      <c r="H37" s="272">
        <f t="shared" si="0"/>
        <v>205.10000000000002</v>
      </c>
      <c r="I37" s="273">
        <v>0</v>
      </c>
      <c r="J37" s="272">
        <v>0</v>
      </c>
      <c r="K37" s="274"/>
      <c r="L37" s="278"/>
      <c r="M37" s="278"/>
      <c r="N37" s="512"/>
      <c r="O37" s="279"/>
    </row>
    <row r="38" spans="1:15" s="12" customFormat="1" ht="23.25">
      <c r="A38" s="262">
        <v>27</v>
      </c>
      <c r="B38" s="647" t="s">
        <v>745</v>
      </c>
      <c r="C38" s="271">
        <v>1027</v>
      </c>
      <c r="D38" s="269">
        <v>702.4680000000001</v>
      </c>
      <c r="E38" s="9">
        <v>983</v>
      </c>
      <c r="F38" s="272">
        <v>680.1680000000001</v>
      </c>
      <c r="G38" s="271">
        <v>44</v>
      </c>
      <c r="H38" s="272">
        <f t="shared" si="0"/>
        <v>22.299999999999955</v>
      </c>
      <c r="I38" s="273">
        <v>0</v>
      </c>
      <c r="J38" s="272">
        <v>0</v>
      </c>
      <c r="K38" s="274"/>
      <c r="L38" s="278"/>
      <c r="M38" s="278"/>
      <c r="N38" s="512"/>
      <c r="O38" s="279"/>
    </row>
    <row r="39" spans="1:13" s="12" customFormat="1" ht="12.75">
      <c r="A39" s="3" t="s">
        <v>19</v>
      </c>
      <c r="B39" s="9"/>
      <c r="C39" s="276">
        <f aca="true" t="shared" si="1" ref="C39:J39">SUM(C12:C38)</f>
        <v>47266</v>
      </c>
      <c r="D39" s="277">
        <f t="shared" si="1"/>
        <v>32398.748000000003</v>
      </c>
      <c r="E39" s="276">
        <f t="shared" si="1"/>
        <v>45166</v>
      </c>
      <c r="F39" s="277">
        <f t="shared" si="1"/>
        <v>30491.25</v>
      </c>
      <c r="G39" s="276">
        <f t="shared" si="1"/>
        <v>2100</v>
      </c>
      <c r="H39" s="277">
        <f t="shared" si="1"/>
        <v>1907.4980000000007</v>
      </c>
      <c r="I39" s="276">
        <f t="shared" si="1"/>
        <v>0</v>
      </c>
      <c r="J39" s="277">
        <f t="shared" si="1"/>
        <v>0</v>
      </c>
      <c r="K39" s="274"/>
      <c r="M39" s="279"/>
    </row>
    <row r="40" s="12" customFormat="1" ht="12.75">
      <c r="A40" s="10" t="s">
        <v>41</v>
      </c>
    </row>
    <row r="41" s="12" customFormat="1" ht="12.75">
      <c r="A41" s="10"/>
    </row>
    <row r="42" s="12" customFormat="1" ht="12.75">
      <c r="A42" s="10"/>
    </row>
    <row r="43" s="12" customFormat="1" ht="12.75">
      <c r="A43" s="10"/>
    </row>
    <row r="44" spans="2:16" s="15" customFormat="1" ht="13.5" customHeight="1"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</row>
    <row r="45" spans="1:16" s="15" customFormat="1" ht="12.75" customHeight="1">
      <c r="A45" s="83"/>
      <c r="B45" s="83"/>
      <c r="C45" s="83"/>
      <c r="D45" s="83"/>
      <c r="E45" s="83"/>
      <c r="F45" s="14"/>
      <c r="G45" s="14"/>
      <c r="H45" s="881" t="s">
        <v>13</v>
      </c>
      <c r="I45" s="881"/>
      <c r="J45" s="83"/>
      <c r="K45" s="14"/>
      <c r="L45" s="83"/>
      <c r="M45" s="83"/>
      <c r="N45" s="83"/>
      <c r="O45" s="83"/>
      <c r="P45" s="83"/>
    </row>
    <row r="46" spans="1:16" s="15" customFormat="1" ht="12.75" customHeight="1">
      <c r="A46" s="83"/>
      <c r="B46" s="83"/>
      <c r="C46" s="83"/>
      <c r="D46" s="83"/>
      <c r="E46" s="83"/>
      <c r="F46" s="83"/>
      <c r="G46" s="881" t="s">
        <v>14</v>
      </c>
      <c r="H46" s="881"/>
      <c r="I46" s="881"/>
      <c r="J46" s="881"/>
      <c r="K46" s="83"/>
      <c r="L46" s="83"/>
      <c r="M46" s="83"/>
      <c r="N46" s="83"/>
      <c r="O46" s="83"/>
      <c r="P46" s="83"/>
    </row>
    <row r="47" spans="1:11" s="15" customFormat="1" ht="12.75">
      <c r="A47" s="14" t="s">
        <v>22</v>
      </c>
      <c r="B47" s="14"/>
      <c r="C47" s="14"/>
      <c r="D47" s="14"/>
      <c r="E47" s="14"/>
      <c r="F47" s="881" t="s">
        <v>637</v>
      </c>
      <c r="G47" s="881"/>
      <c r="H47" s="881"/>
      <c r="I47" s="881"/>
      <c r="J47" s="881"/>
      <c r="K47" s="881"/>
    </row>
    <row r="48" spans="1:11" s="15" customFormat="1" ht="12.75">
      <c r="A48" s="14"/>
      <c r="F48" s="14"/>
      <c r="G48" s="14"/>
      <c r="H48" s="1" t="s">
        <v>84</v>
      </c>
      <c r="I48" s="1"/>
      <c r="J48" s="1"/>
      <c r="K48" s="1"/>
    </row>
    <row r="49" spans="1:10" ht="12.75">
      <c r="A49" s="965"/>
      <c r="B49" s="965"/>
      <c r="C49" s="965"/>
      <c r="D49" s="965"/>
      <c r="E49" s="965"/>
      <c r="F49" s="965"/>
      <c r="G49" s="965"/>
      <c r="H49" s="965"/>
      <c r="I49" s="965"/>
      <c r="J49" s="965"/>
    </row>
    <row r="50" spans="3:10" ht="12.75">
      <c r="C50">
        <v>47266</v>
      </c>
      <c r="D50">
        <v>32398.75</v>
      </c>
      <c r="E50">
        <v>40163</v>
      </c>
      <c r="F50">
        <v>26286.23</v>
      </c>
      <c r="G50">
        <v>5726</v>
      </c>
      <c r="H50">
        <v>4972.88</v>
      </c>
      <c r="I50">
        <v>1377</v>
      </c>
      <c r="J50">
        <v>1139.6399999999994</v>
      </c>
    </row>
    <row r="51" ht="12.75">
      <c r="D51" s="278">
        <f>D50-D39</f>
        <v>0.001999999996769475</v>
      </c>
    </row>
  </sheetData>
  <sheetProtection/>
  <mergeCells count="19">
    <mergeCell ref="A2:J2"/>
    <mergeCell ref="I7:K7"/>
    <mergeCell ref="K9:K10"/>
    <mergeCell ref="A49:J49"/>
    <mergeCell ref="E9:F9"/>
    <mergeCell ref="C9:D9"/>
    <mergeCell ref="H45:I45"/>
    <mergeCell ref="G46:J46"/>
    <mergeCell ref="F47:K47"/>
    <mergeCell ref="I1:J1"/>
    <mergeCell ref="G9:H9"/>
    <mergeCell ref="A9:A10"/>
    <mergeCell ref="D1:E1"/>
    <mergeCell ref="A5:K5"/>
    <mergeCell ref="A3:J3"/>
    <mergeCell ref="E7:H7"/>
    <mergeCell ref="C8:J8"/>
    <mergeCell ref="I9:J9"/>
    <mergeCell ref="B9:B10"/>
  </mergeCells>
  <printOptions horizontalCentered="1"/>
  <pageMargins left="0.708661417322835" right="0.708661417322835" top="0.63" bottom="0" header="0.82" footer="0.31496062992126"/>
  <pageSetup fitToHeight="1" fitToWidth="1" horizontalDpi="600" verticalDpi="600" orientation="landscape" paperSize="9" scale="5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S48"/>
  <sheetViews>
    <sheetView view="pageBreakPreview" zoomScale="90" zoomScaleSheetLayoutView="90" zoomScalePageLayoutView="0" workbookViewId="0" topLeftCell="A10">
      <selection activeCell="D11" sqref="D11"/>
    </sheetView>
  </sheetViews>
  <sheetFormatPr defaultColWidth="9.140625" defaultRowHeight="12.75"/>
  <cols>
    <col min="2" max="2" width="19.00390625" style="0" customWidth="1"/>
    <col min="3" max="3" width="15.140625" style="0" customWidth="1"/>
    <col min="4" max="4" width="15.8515625" style="0" customWidth="1"/>
    <col min="5" max="5" width="9.85156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</cols>
  <sheetData>
    <row r="1" spans="4:11" ht="22.5" customHeight="1">
      <c r="D1" s="853"/>
      <c r="E1" s="853"/>
      <c r="H1" s="42"/>
      <c r="J1" s="967" t="s">
        <v>69</v>
      </c>
      <c r="K1" s="967"/>
    </row>
    <row r="2" spans="1:10" ht="15">
      <c r="A2" s="969" t="s">
        <v>0</v>
      </c>
      <c r="B2" s="969"/>
      <c r="C2" s="969"/>
      <c r="D2" s="969"/>
      <c r="E2" s="969"/>
      <c r="F2" s="969"/>
      <c r="G2" s="969"/>
      <c r="H2" s="969"/>
      <c r="I2" s="969"/>
      <c r="J2" s="969"/>
    </row>
    <row r="3" spans="1:10" ht="18">
      <c r="A3" s="982" t="s">
        <v>859</v>
      </c>
      <c r="B3" s="982"/>
      <c r="C3" s="982"/>
      <c r="D3" s="982"/>
      <c r="E3" s="982"/>
      <c r="F3" s="982"/>
      <c r="G3" s="982"/>
      <c r="H3" s="982"/>
      <c r="I3" s="982"/>
      <c r="J3" s="982"/>
    </row>
    <row r="4" ht="10.5" customHeight="1"/>
    <row r="5" spans="1:12" s="15" customFormat="1" ht="15.75" customHeight="1">
      <c r="A5" s="1065" t="s">
        <v>440</v>
      </c>
      <c r="B5" s="1065"/>
      <c r="C5" s="1065"/>
      <c r="D5" s="1065"/>
      <c r="E5" s="1065"/>
      <c r="F5" s="1065"/>
      <c r="G5" s="1065"/>
      <c r="H5" s="1065"/>
      <c r="I5" s="1065"/>
      <c r="J5" s="1065"/>
      <c r="K5" s="1065"/>
      <c r="L5" s="1065"/>
    </row>
    <row r="6" spans="1:10" s="15" customFormat="1" ht="15.75" customHeight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1" s="15" customFormat="1" ht="12.75">
      <c r="A7" s="35" t="s">
        <v>634</v>
      </c>
      <c r="B7" s="35"/>
      <c r="I7" s="1001" t="s">
        <v>977</v>
      </c>
      <c r="J7" s="1001"/>
      <c r="K7" s="1001"/>
    </row>
    <row r="8" spans="3:10" s="13" customFormat="1" ht="15.75" hidden="1">
      <c r="C8" s="969" t="s">
        <v>16</v>
      </c>
      <c r="D8" s="969"/>
      <c r="E8" s="969"/>
      <c r="F8" s="969"/>
      <c r="G8" s="969"/>
      <c r="H8" s="969"/>
      <c r="I8" s="969"/>
      <c r="J8" s="969"/>
    </row>
    <row r="9" spans="1:19" ht="53.25" customHeight="1">
      <c r="A9" s="963" t="s">
        <v>24</v>
      </c>
      <c r="B9" s="963" t="s">
        <v>37</v>
      </c>
      <c r="C9" s="894" t="s">
        <v>1047</v>
      </c>
      <c r="D9" s="896"/>
      <c r="E9" s="894" t="s">
        <v>478</v>
      </c>
      <c r="F9" s="896"/>
      <c r="G9" s="894" t="s">
        <v>39</v>
      </c>
      <c r="H9" s="896"/>
      <c r="I9" s="871" t="s">
        <v>106</v>
      </c>
      <c r="J9" s="871"/>
      <c r="K9" s="871" t="s">
        <v>261</v>
      </c>
      <c r="R9" s="9"/>
      <c r="S9" s="12"/>
    </row>
    <row r="10" spans="1:11" s="14" customFormat="1" ht="46.5" customHeight="1">
      <c r="A10" s="964"/>
      <c r="B10" s="964"/>
      <c r="C10" s="5" t="s">
        <v>40</v>
      </c>
      <c r="D10" s="5" t="s">
        <v>105</v>
      </c>
      <c r="E10" s="5" t="s">
        <v>40</v>
      </c>
      <c r="F10" s="5" t="s">
        <v>105</v>
      </c>
      <c r="G10" s="5" t="s">
        <v>40</v>
      </c>
      <c r="H10" s="5" t="s">
        <v>105</v>
      </c>
      <c r="I10" s="5" t="s">
        <v>142</v>
      </c>
      <c r="J10" s="5" t="s">
        <v>143</v>
      </c>
      <c r="K10" s="871"/>
    </row>
    <row r="11" spans="1:1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1" ht="12.75">
      <c r="A12" s="262">
        <v>1</v>
      </c>
      <c r="B12" s="647" t="s">
        <v>898</v>
      </c>
      <c r="C12" s="268">
        <v>2496</v>
      </c>
      <c r="D12" s="265">
        <v>124.8</v>
      </c>
      <c r="E12" s="268">
        <v>2496</v>
      </c>
      <c r="F12" s="265">
        <v>124.8</v>
      </c>
      <c r="G12" s="268">
        <v>0</v>
      </c>
      <c r="H12" s="268">
        <v>0</v>
      </c>
      <c r="I12" s="268">
        <v>0</v>
      </c>
      <c r="J12" s="268">
        <v>0</v>
      </c>
      <c r="K12" s="268"/>
    </row>
    <row r="13" spans="1:11" ht="12.75">
      <c r="A13" s="260">
        <v>2</v>
      </c>
      <c r="B13" s="647" t="s">
        <v>899</v>
      </c>
      <c r="C13" s="268">
        <v>2603</v>
      </c>
      <c r="D13" s="265">
        <v>130.15</v>
      </c>
      <c r="E13" s="268">
        <v>2603</v>
      </c>
      <c r="F13" s="265">
        <v>130.15</v>
      </c>
      <c r="G13" s="268">
        <v>0</v>
      </c>
      <c r="H13" s="268">
        <v>0</v>
      </c>
      <c r="I13" s="268">
        <v>0</v>
      </c>
      <c r="J13" s="268">
        <v>0</v>
      </c>
      <c r="K13" s="268"/>
    </row>
    <row r="14" spans="1:11" ht="12.75">
      <c r="A14" s="260">
        <v>3</v>
      </c>
      <c r="B14" s="647" t="s">
        <v>839</v>
      </c>
      <c r="C14" s="268">
        <v>2543</v>
      </c>
      <c r="D14" s="265">
        <v>127.15</v>
      </c>
      <c r="E14" s="268">
        <v>2543</v>
      </c>
      <c r="F14" s="265">
        <v>127.15</v>
      </c>
      <c r="G14" s="268">
        <v>0</v>
      </c>
      <c r="H14" s="268">
        <v>0</v>
      </c>
      <c r="I14" s="268">
        <v>0</v>
      </c>
      <c r="J14" s="268">
        <v>0</v>
      </c>
      <c r="K14" s="268"/>
    </row>
    <row r="15" spans="1:11" ht="12.75">
      <c r="A15" s="260">
        <v>4</v>
      </c>
      <c r="B15" s="647" t="s">
        <v>743</v>
      </c>
      <c r="C15" s="268">
        <v>3365</v>
      </c>
      <c r="D15" s="265">
        <v>168.25</v>
      </c>
      <c r="E15" s="268">
        <v>3365</v>
      </c>
      <c r="F15" s="265">
        <v>168.25</v>
      </c>
      <c r="G15" s="268">
        <v>0</v>
      </c>
      <c r="H15" s="268">
        <v>0</v>
      </c>
      <c r="I15" s="268">
        <v>0</v>
      </c>
      <c r="J15" s="268">
        <v>0</v>
      </c>
      <c r="K15" s="268"/>
    </row>
    <row r="16" spans="1:11" ht="12.75">
      <c r="A16" s="260">
        <v>5</v>
      </c>
      <c r="B16" s="647" t="s">
        <v>748</v>
      </c>
      <c r="C16" s="268">
        <v>3790</v>
      </c>
      <c r="D16" s="265">
        <v>189.5</v>
      </c>
      <c r="E16" s="268">
        <v>3790</v>
      </c>
      <c r="F16" s="265">
        <v>189.5</v>
      </c>
      <c r="G16" s="268">
        <v>0</v>
      </c>
      <c r="H16" s="268">
        <v>0</v>
      </c>
      <c r="I16" s="268">
        <v>0</v>
      </c>
      <c r="J16" s="268">
        <v>0</v>
      </c>
      <c r="K16" s="268"/>
    </row>
    <row r="17" spans="1:11" ht="12.75">
      <c r="A17" s="260">
        <v>6</v>
      </c>
      <c r="B17" s="647" t="s">
        <v>747</v>
      </c>
      <c r="C17" s="268">
        <v>3430</v>
      </c>
      <c r="D17" s="265">
        <v>171.5</v>
      </c>
      <c r="E17" s="268">
        <v>3430</v>
      </c>
      <c r="F17" s="265">
        <v>171.5</v>
      </c>
      <c r="G17" s="268">
        <v>0</v>
      </c>
      <c r="H17" s="268">
        <v>0</v>
      </c>
      <c r="I17" s="268">
        <v>0</v>
      </c>
      <c r="J17" s="268">
        <v>0</v>
      </c>
      <c r="K17" s="268"/>
    </row>
    <row r="18" spans="1:11" ht="12.75">
      <c r="A18" s="260">
        <v>7</v>
      </c>
      <c r="B18" s="647" t="s">
        <v>737</v>
      </c>
      <c r="C18" s="268">
        <v>1267</v>
      </c>
      <c r="D18" s="265">
        <v>63.35</v>
      </c>
      <c r="E18" s="268">
        <v>1267</v>
      </c>
      <c r="F18" s="265">
        <v>63.35</v>
      </c>
      <c r="G18" s="268">
        <v>0</v>
      </c>
      <c r="H18" s="268">
        <v>0</v>
      </c>
      <c r="I18" s="268">
        <v>0</v>
      </c>
      <c r="J18" s="268">
        <v>0</v>
      </c>
      <c r="K18" s="268"/>
    </row>
    <row r="19" spans="1:11" ht="12.75">
      <c r="A19" s="260">
        <v>8</v>
      </c>
      <c r="B19" s="647" t="s">
        <v>749</v>
      </c>
      <c r="C19" s="268">
        <v>1668</v>
      </c>
      <c r="D19" s="265">
        <v>83.4</v>
      </c>
      <c r="E19" s="268">
        <v>1668</v>
      </c>
      <c r="F19" s="265">
        <v>83.4</v>
      </c>
      <c r="G19" s="268">
        <v>0</v>
      </c>
      <c r="H19" s="268">
        <v>0</v>
      </c>
      <c r="I19" s="268">
        <v>0</v>
      </c>
      <c r="J19" s="268">
        <v>0</v>
      </c>
      <c r="K19" s="268"/>
    </row>
    <row r="20" spans="1:11" ht="12.75">
      <c r="A20" s="260">
        <v>9</v>
      </c>
      <c r="B20" s="647" t="s">
        <v>834</v>
      </c>
      <c r="C20" s="268">
        <v>3020</v>
      </c>
      <c r="D20" s="265">
        <v>151</v>
      </c>
      <c r="E20" s="268">
        <v>3020</v>
      </c>
      <c r="F20" s="265">
        <v>151</v>
      </c>
      <c r="G20" s="268">
        <v>0</v>
      </c>
      <c r="H20" s="268">
        <v>0</v>
      </c>
      <c r="I20" s="268">
        <v>0</v>
      </c>
      <c r="J20" s="268">
        <v>0</v>
      </c>
      <c r="K20" s="268"/>
    </row>
    <row r="21" spans="1:11" ht="12.75">
      <c r="A21" s="260">
        <v>10</v>
      </c>
      <c r="B21" s="647" t="s">
        <v>739</v>
      </c>
      <c r="C21" s="268">
        <v>756</v>
      </c>
      <c r="D21" s="265">
        <v>37.8</v>
      </c>
      <c r="E21" s="268">
        <v>756</v>
      </c>
      <c r="F21" s="265">
        <v>37.8</v>
      </c>
      <c r="G21" s="268">
        <v>0</v>
      </c>
      <c r="H21" s="268">
        <v>0</v>
      </c>
      <c r="I21" s="268">
        <v>0</v>
      </c>
      <c r="J21" s="268">
        <v>0</v>
      </c>
      <c r="K21" s="268"/>
    </row>
    <row r="22" spans="1:11" ht="12.75">
      <c r="A22" s="260">
        <v>11</v>
      </c>
      <c r="B22" s="647" t="s">
        <v>900</v>
      </c>
      <c r="C22" s="268">
        <v>1243</v>
      </c>
      <c r="D22" s="265">
        <v>62.15</v>
      </c>
      <c r="E22" s="268">
        <v>1243</v>
      </c>
      <c r="F22" s="265">
        <v>62.15</v>
      </c>
      <c r="G22" s="268">
        <v>0</v>
      </c>
      <c r="H22" s="268">
        <v>0</v>
      </c>
      <c r="I22" s="268">
        <v>0</v>
      </c>
      <c r="J22" s="268">
        <v>0</v>
      </c>
      <c r="K22" s="268"/>
    </row>
    <row r="23" spans="1:11" ht="12.75">
      <c r="A23" s="260">
        <v>12</v>
      </c>
      <c r="B23" s="647" t="s">
        <v>731</v>
      </c>
      <c r="C23" s="268">
        <v>2488</v>
      </c>
      <c r="D23" s="265">
        <v>124.4</v>
      </c>
      <c r="E23" s="268">
        <v>2488</v>
      </c>
      <c r="F23" s="265">
        <v>124.4</v>
      </c>
      <c r="G23" s="268">
        <v>0</v>
      </c>
      <c r="H23" s="268">
        <v>0</v>
      </c>
      <c r="I23" s="268">
        <v>0</v>
      </c>
      <c r="J23" s="268">
        <v>0</v>
      </c>
      <c r="K23" s="268"/>
    </row>
    <row r="24" spans="1:11" ht="12.75">
      <c r="A24" s="260">
        <v>13</v>
      </c>
      <c r="B24" s="647" t="s">
        <v>742</v>
      </c>
      <c r="C24" s="268">
        <v>1671</v>
      </c>
      <c r="D24" s="265">
        <v>83.55</v>
      </c>
      <c r="E24" s="268">
        <v>1671</v>
      </c>
      <c r="F24" s="265">
        <v>83.55</v>
      </c>
      <c r="G24" s="268">
        <v>0</v>
      </c>
      <c r="H24" s="268">
        <v>0</v>
      </c>
      <c r="I24" s="268">
        <v>0</v>
      </c>
      <c r="J24" s="268">
        <v>0</v>
      </c>
      <c r="K24" s="268"/>
    </row>
    <row r="25" spans="1:11" ht="12.75">
      <c r="A25" s="260">
        <v>14</v>
      </c>
      <c r="B25" s="647" t="s">
        <v>740</v>
      </c>
      <c r="C25" s="268">
        <v>1458</v>
      </c>
      <c r="D25" s="265">
        <v>72.9</v>
      </c>
      <c r="E25" s="268">
        <v>1458</v>
      </c>
      <c r="F25" s="265">
        <v>72.9</v>
      </c>
      <c r="G25" s="268">
        <v>0</v>
      </c>
      <c r="H25" s="268">
        <v>0</v>
      </c>
      <c r="I25" s="268">
        <v>0</v>
      </c>
      <c r="J25" s="268">
        <v>0</v>
      </c>
      <c r="K25" s="268"/>
    </row>
    <row r="26" spans="1:11" ht="12.75">
      <c r="A26" s="260">
        <v>15</v>
      </c>
      <c r="B26" s="647" t="s">
        <v>734</v>
      </c>
      <c r="C26" s="268">
        <v>1940</v>
      </c>
      <c r="D26" s="265">
        <v>97</v>
      </c>
      <c r="E26" s="268">
        <v>1940</v>
      </c>
      <c r="F26" s="265">
        <v>97</v>
      </c>
      <c r="G26" s="268">
        <v>0</v>
      </c>
      <c r="H26" s="268">
        <v>0</v>
      </c>
      <c r="I26" s="268">
        <v>0</v>
      </c>
      <c r="J26" s="268">
        <v>0</v>
      </c>
      <c r="K26" s="268"/>
    </row>
    <row r="27" spans="1:11" ht="12.75">
      <c r="A27" s="260">
        <v>16</v>
      </c>
      <c r="B27" s="647" t="s">
        <v>741</v>
      </c>
      <c r="C27" s="268">
        <v>2373</v>
      </c>
      <c r="D27" s="265">
        <v>118.65</v>
      </c>
      <c r="E27" s="268">
        <v>2373</v>
      </c>
      <c r="F27" s="265">
        <v>118.65</v>
      </c>
      <c r="G27" s="268">
        <v>0</v>
      </c>
      <c r="H27" s="268">
        <v>0</v>
      </c>
      <c r="I27" s="268">
        <v>0</v>
      </c>
      <c r="J27" s="268">
        <v>0</v>
      </c>
      <c r="K27" s="268"/>
    </row>
    <row r="28" spans="1:11" ht="12.75">
      <c r="A28" s="260">
        <v>17</v>
      </c>
      <c r="B28" s="647" t="s">
        <v>733</v>
      </c>
      <c r="C28" s="268">
        <v>1807</v>
      </c>
      <c r="D28" s="265">
        <v>90.35</v>
      </c>
      <c r="E28" s="268">
        <v>1807</v>
      </c>
      <c r="F28" s="265">
        <v>90.35</v>
      </c>
      <c r="G28" s="268">
        <v>0</v>
      </c>
      <c r="H28" s="268">
        <v>0</v>
      </c>
      <c r="I28" s="268">
        <v>0</v>
      </c>
      <c r="J28" s="268">
        <v>0</v>
      </c>
      <c r="K28" s="268"/>
    </row>
    <row r="29" spans="1:11" ht="12.75">
      <c r="A29" s="260">
        <v>18</v>
      </c>
      <c r="B29" s="647" t="s">
        <v>735</v>
      </c>
      <c r="C29" s="268">
        <v>3050</v>
      </c>
      <c r="D29" s="265">
        <v>152.5</v>
      </c>
      <c r="E29" s="268">
        <v>3050</v>
      </c>
      <c r="F29" s="265">
        <v>152.5</v>
      </c>
      <c r="G29" s="268">
        <v>0</v>
      </c>
      <c r="H29" s="268">
        <v>0</v>
      </c>
      <c r="I29" s="268">
        <v>0</v>
      </c>
      <c r="J29" s="268">
        <v>0</v>
      </c>
      <c r="K29" s="268"/>
    </row>
    <row r="30" spans="1:11" ht="12.75">
      <c r="A30" s="260">
        <v>19</v>
      </c>
      <c r="B30" s="647" t="s">
        <v>732</v>
      </c>
      <c r="C30" s="268">
        <v>2683</v>
      </c>
      <c r="D30" s="265">
        <v>134.15</v>
      </c>
      <c r="E30" s="268">
        <v>2683</v>
      </c>
      <c r="F30" s="265">
        <v>134.15</v>
      </c>
      <c r="G30" s="268">
        <v>0</v>
      </c>
      <c r="H30" s="268">
        <v>0</v>
      </c>
      <c r="I30" s="268">
        <v>0</v>
      </c>
      <c r="J30" s="268">
        <v>0</v>
      </c>
      <c r="K30" s="268"/>
    </row>
    <row r="31" spans="1:11" ht="12.75">
      <c r="A31" s="260">
        <v>20</v>
      </c>
      <c r="B31" s="647" t="s">
        <v>836</v>
      </c>
      <c r="C31" s="268">
        <v>2991</v>
      </c>
      <c r="D31" s="265">
        <v>149.55</v>
      </c>
      <c r="E31" s="268">
        <v>2991</v>
      </c>
      <c r="F31" s="265">
        <v>149.55</v>
      </c>
      <c r="G31" s="268">
        <v>0</v>
      </c>
      <c r="H31" s="268">
        <v>0</v>
      </c>
      <c r="I31" s="268">
        <v>0</v>
      </c>
      <c r="J31" s="268">
        <v>0</v>
      </c>
      <c r="K31" s="268"/>
    </row>
    <row r="32" spans="1:11" ht="12.75">
      <c r="A32" s="260">
        <v>21</v>
      </c>
      <c r="B32" s="647" t="s">
        <v>729</v>
      </c>
      <c r="C32" s="268">
        <v>2040</v>
      </c>
      <c r="D32" s="265">
        <v>102</v>
      </c>
      <c r="E32" s="268">
        <v>2040</v>
      </c>
      <c r="F32" s="265">
        <v>102</v>
      </c>
      <c r="G32" s="268">
        <v>0</v>
      </c>
      <c r="H32" s="268">
        <v>0</v>
      </c>
      <c r="I32" s="268">
        <v>0</v>
      </c>
      <c r="J32" s="268">
        <v>0</v>
      </c>
      <c r="K32" s="268"/>
    </row>
    <row r="33" spans="1:11" ht="12.75">
      <c r="A33" s="260">
        <v>22</v>
      </c>
      <c r="B33" s="647" t="s">
        <v>746</v>
      </c>
      <c r="C33" s="268">
        <v>2324</v>
      </c>
      <c r="D33" s="265">
        <v>116.2</v>
      </c>
      <c r="E33" s="268">
        <v>2324</v>
      </c>
      <c r="F33" s="265">
        <v>116.2</v>
      </c>
      <c r="G33" s="268">
        <v>0</v>
      </c>
      <c r="H33" s="268">
        <v>0</v>
      </c>
      <c r="I33" s="268">
        <v>0</v>
      </c>
      <c r="J33" s="268">
        <v>0</v>
      </c>
      <c r="K33" s="268"/>
    </row>
    <row r="34" spans="1:11" ht="12.75">
      <c r="A34" s="260">
        <v>23</v>
      </c>
      <c r="B34" s="647" t="s">
        <v>738</v>
      </c>
      <c r="C34" s="268">
        <v>1749</v>
      </c>
      <c r="D34" s="265">
        <v>87.45</v>
      </c>
      <c r="E34" s="268">
        <v>1749</v>
      </c>
      <c r="F34" s="265">
        <v>87.45</v>
      </c>
      <c r="G34" s="268">
        <v>0</v>
      </c>
      <c r="H34" s="268">
        <v>0</v>
      </c>
      <c r="I34" s="268">
        <v>0</v>
      </c>
      <c r="J34" s="268">
        <v>0</v>
      </c>
      <c r="K34" s="268"/>
    </row>
    <row r="35" spans="1:11" ht="12.75">
      <c r="A35" s="260">
        <v>24</v>
      </c>
      <c r="B35" s="647" t="s">
        <v>730</v>
      </c>
      <c r="C35" s="268">
        <v>2813</v>
      </c>
      <c r="D35" s="265">
        <v>140.65</v>
      </c>
      <c r="E35" s="268">
        <v>2813</v>
      </c>
      <c r="F35" s="265">
        <v>140.65</v>
      </c>
      <c r="G35" s="268">
        <v>0</v>
      </c>
      <c r="H35" s="268">
        <v>0</v>
      </c>
      <c r="I35" s="268">
        <v>0</v>
      </c>
      <c r="J35" s="268">
        <v>0</v>
      </c>
      <c r="K35" s="268"/>
    </row>
    <row r="36" spans="1:11" ht="12.75">
      <c r="A36" s="260">
        <v>25</v>
      </c>
      <c r="B36" s="647" t="s">
        <v>736</v>
      </c>
      <c r="C36" s="268">
        <v>1235</v>
      </c>
      <c r="D36" s="265">
        <v>61.75</v>
      </c>
      <c r="E36" s="268">
        <v>1235</v>
      </c>
      <c r="F36" s="265">
        <v>61.75</v>
      </c>
      <c r="G36" s="268">
        <v>0</v>
      </c>
      <c r="H36" s="268">
        <v>0</v>
      </c>
      <c r="I36" s="268">
        <v>0</v>
      </c>
      <c r="J36" s="268">
        <v>0</v>
      </c>
      <c r="K36" s="268"/>
    </row>
    <row r="37" spans="1:11" s="12" customFormat="1" ht="12.75">
      <c r="A37" s="260">
        <v>26</v>
      </c>
      <c r="B37" s="647" t="s">
        <v>744</v>
      </c>
      <c r="C37" s="268">
        <v>1123</v>
      </c>
      <c r="D37" s="265">
        <v>56.15</v>
      </c>
      <c r="E37" s="268">
        <v>1123</v>
      </c>
      <c r="F37" s="265">
        <v>56.15</v>
      </c>
      <c r="G37" s="268">
        <v>0</v>
      </c>
      <c r="H37" s="268">
        <v>0</v>
      </c>
      <c r="I37" s="268">
        <v>0</v>
      </c>
      <c r="J37" s="268">
        <v>0</v>
      </c>
      <c r="K37" s="268"/>
    </row>
    <row r="38" spans="1:11" s="12" customFormat="1" ht="12.75">
      <c r="A38" s="262">
        <v>27</v>
      </c>
      <c r="B38" s="647" t="s">
        <v>745</v>
      </c>
      <c r="C38" s="268">
        <v>1284</v>
      </c>
      <c r="D38" s="265">
        <v>64.2</v>
      </c>
      <c r="E38" s="268">
        <v>1284</v>
      </c>
      <c r="F38" s="265">
        <v>64.2</v>
      </c>
      <c r="G38" s="268">
        <v>0</v>
      </c>
      <c r="H38" s="268">
        <v>0</v>
      </c>
      <c r="I38" s="268">
        <v>0</v>
      </c>
      <c r="J38" s="268">
        <v>0</v>
      </c>
      <c r="K38" s="268"/>
    </row>
    <row r="39" spans="1:11" s="12" customFormat="1" ht="12.75">
      <c r="A39" s="3" t="s">
        <v>19</v>
      </c>
      <c r="B39" s="9"/>
      <c r="C39" s="268">
        <f>SUM(C12:C38)</f>
        <v>59210</v>
      </c>
      <c r="D39" s="265">
        <f aca="true" t="shared" si="0" ref="D39:K39">SUM(D12:D38)</f>
        <v>2960.5000000000005</v>
      </c>
      <c r="E39" s="268">
        <f t="shared" si="0"/>
        <v>59210</v>
      </c>
      <c r="F39" s="265">
        <f t="shared" si="0"/>
        <v>2960.5000000000005</v>
      </c>
      <c r="G39" s="268">
        <f t="shared" si="0"/>
        <v>0</v>
      </c>
      <c r="H39" s="268">
        <f t="shared" si="0"/>
        <v>0</v>
      </c>
      <c r="I39" s="268">
        <f t="shared" si="0"/>
        <v>0</v>
      </c>
      <c r="J39" s="268">
        <f t="shared" si="0"/>
        <v>0</v>
      </c>
      <c r="K39" s="268">
        <f t="shared" si="0"/>
        <v>0</v>
      </c>
    </row>
    <row r="40" s="12" customFormat="1" ht="12.75"/>
    <row r="41" s="12" customFormat="1" ht="12.75">
      <c r="A41" s="10" t="s">
        <v>41</v>
      </c>
    </row>
    <row r="42" spans="3:6" ht="15.75" customHeight="1">
      <c r="C42" s="1066"/>
      <c r="D42" s="1066"/>
      <c r="E42" s="1066"/>
      <c r="F42" s="1066"/>
    </row>
    <row r="43" spans="2:16" s="15" customFormat="1" ht="13.5" customHeight="1"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</row>
    <row r="44" spans="1:16" s="15" customFormat="1" ht="12.75" customHeight="1">
      <c r="A44" s="83"/>
      <c r="B44" s="83"/>
      <c r="C44" s="83"/>
      <c r="D44" s="83"/>
      <c r="E44" s="83"/>
      <c r="F44" s="14"/>
      <c r="G44" s="14"/>
      <c r="H44" s="881" t="s">
        <v>13</v>
      </c>
      <c r="I44" s="881"/>
      <c r="J44" s="83"/>
      <c r="K44" s="14"/>
      <c r="L44" s="83"/>
      <c r="M44" s="83"/>
      <c r="N44" s="83"/>
      <c r="O44" s="83"/>
      <c r="P44" s="83"/>
    </row>
    <row r="45" spans="1:16" s="15" customFormat="1" ht="12.75" customHeight="1">
      <c r="A45" s="83"/>
      <c r="B45" s="83"/>
      <c r="C45" s="83"/>
      <c r="D45" s="83"/>
      <c r="E45" s="83"/>
      <c r="F45" s="83"/>
      <c r="G45" s="881" t="s">
        <v>14</v>
      </c>
      <c r="H45" s="881"/>
      <c r="I45" s="881"/>
      <c r="J45" s="881"/>
      <c r="K45" s="83"/>
      <c r="L45" s="83"/>
      <c r="M45" s="83"/>
      <c r="N45" s="83"/>
      <c r="O45" s="83"/>
      <c r="P45" s="83"/>
    </row>
    <row r="46" spans="1:11" s="15" customFormat="1" ht="12.75">
      <c r="A46" s="14" t="s">
        <v>22</v>
      </c>
      <c r="B46" s="14"/>
      <c r="C46" s="14"/>
      <c r="D46" s="14"/>
      <c r="E46" s="14"/>
      <c r="F46" s="881" t="s">
        <v>637</v>
      </c>
      <c r="G46" s="881"/>
      <c r="H46" s="881"/>
      <c r="I46" s="881"/>
      <c r="J46" s="881"/>
      <c r="K46" s="881"/>
    </row>
    <row r="47" spans="1:11" s="15" customFormat="1" ht="12.75">
      <c r="A47" s="14"/>
      <c r="F47" s="14"/>
      <c r="G47" s="14"/>
      <c r="H47" s="1" t="s">
        <v>84</v>
      </c>
      <c r="I47" s="1"/>
      <c r="J47" s="1"/>
      <c r="K47" s="1"/>
    </row>
    <row r="48" spans="1:10" ht="12.75">
      <c r="A48" s="965"/>
      <c r="B48" s="965"/>
      <c r="C48" s="965"/>
      <c r="D48" s="965"/>
      <c r="E48" s="965"/>
      <c r="F48" s="965"/>
      <c r="G48" s="965"/>
      <c r="H48" s="965"/>
      <c r="I48" s="965"/>
      <c r="J48" s="965"/>
    </row>
  </sheetData>
  <sheetProtection/>
  <mergeCells count="19">
    <mergeCell ref="F46:K46"/>
    <mergeCell ref="A48:J48"/>
    <mergeCell ref="C8:J8"/>
    <mergeCell ref="A9:A10"/>
    <mergeCell ref="B9:B10"/>
    <mergeCell ref="E9:F9"/>
    <mergeCell ref="C9:D9"/>
    <mergeCell ref="G9:H9"/>
    <mergeCell ref="C42:F42"/>
    <mergeCell ref="H44:I44"/>
    <mergeCell ref="G45:J45"/>
    <mergeCell ref="J1:K1"/>
    <mergeCell ref="I9:J9"/>
    <mergeCell ref="D1:E1"/>
    <mergeCell ref="A2:J2"/>
    <mergeCell ref="A3:J3"/>
    <mergeCell ref="I7:K7"/>
    <mergeCell ref="A5:L5"/>
    <mergeCell ref="K9:K10"/>
  </mergeCells>
  <printOptions horizontalCentered="1"/>
  <pageMargins left="0.7086614173228347" right="0.7086614173228347" top="0.73" bottom="0" header="1" footer="0.31496062992125984"/>
  <pageSetup fitToHeight="1" fitToWidth="1" horizontalDpi="600" verticalDpi="600" orientation="landscape" paperSize="9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48"/>
  <sheetViews>
    <sheetView view="pageBreakPreview" zoomScale="90" zoomScaleSheetLayoutView="90" zoomScalePageLayoutView="0" workbookViewId="0" topLeftCell="D4">
      <selection activeCell="L4" sqref="L1:T16384"/>
    </sheetView>
  </sheetViews>
  <sheetFormatPr defaultColWidth="9.140625" defaultRowHeight="12.75"/>
  <cols>
    <col min="2" max="2" width="19.00390625" style="0" customWidth="1"/>
    <col min="3" max="3" width="16.28125" style="0" customWidth="1"/>
    <col min="4" max="4" width="15.8515625" style="0" customWidth="1"/>
    <col min="5" max="5" width="12.710937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</cols>
  <sheetData>
    <row r="1" spans="4:11" ht="22.5" customHeight="1">
      <c r="D1" s="853"/>
      <c r="E1" s="853"/>
      <c r="H1" s="42"/>
      <c r="J1" s="967" t="s">
        <v>479</v>
      </c>
      <c r="K1" s="967"/>
    </row>
    <row r="2" spans="1:10" ht="15">
      <c r="A2" s="969" t="s">
        <v>0</v>
      </c>
      <c r="B2" s="969"/>
      <c r="C2" s="969"/>
      <c r="D2" s="969"/>
      <c r="E2" s="969"/>
      <c r="F2" s="969"/>
      <c r="G2" s="969"/>
      <c r="H2" s="969"/>
      <c r="I2" s="969"/>
      <c r="J2" s="969"/>
    </row>
    <row r="3" spans="1:10" ht="18">
      <c r="A3" s="982" t="s">
        <v>859</v>
      </c>
      <c r="B3" s="982"/>
      <c r="C3" s="982"/>
      <c r="D3" s="982"/>
      <c r="E3" s="982"/>
      <c r="F3" s="982"/>
      <c r="G3" s="982"/>
      <c r="H3" s="982"/>
      <c r="I3" s="982"/>
      <c r="J3" s="982"/>
    </row>
    <row r="4" ht="10.5" customHeight="1"/>
    <row r="5" spans="1:11" s="15" customFormat="1" ht="15.75" customHeight="1">
      <c r="A5" s="1067" t="s">
        <v>489</v>
      </c>
      <c r="B5" s="1067"/>
      <c r="C5" s="1067"/>
      <c r="D5" s="1067"/>
      <c r="E5" s="1067"/>
      <c r="F5" s="1067"/>
      <c r="G5" s="1067"/>
      <c r="H5" s="1067"/>
      <c r="I5" s="1067"/>
      <c r="J5" s="1067"/>
      <c r="K5" s="1067"/>
    </row>
    <row r="6" spans="1:10" s="15" customFormat="1" ht="15.75" customHeight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1" s="15" customFormat="1" ht="12.75">
      <c r="A7" s="35" t="s">
        <v>634</v>
      </c>
      <c r="B7" s="35"/>
      <c r="I7" s="1001" t="s">
        <v>979</v>
      </c>
      <c r="J7" s="1001"/>
      <c r="K7" s="1001"/>
    </row>
    <row r="8" spans="3:10" s="13" customFormat="1" ht="15.75" hidden="1">
      <c r="C8" s="969" t="s">
        <v>16</v>
      </c>
      <c r="D8" s="969"/>
      <c r="E8" s="969"/>
      <c r="F8" s="969"/>
      <c r="G8" s="969"/>
      <c r="H8" s="969"/>
      <c r="I8" s="969"/>
      <c r="J8" s="969"/>
    </row>
    <row r="9" spans="1:11" ht="36.75" customHeight="1">
      <c r="A9" s="963" t="s">
        <v>24</v>
      </c>
      <c r="B9" s="963" t="s">
        <v>37</v>
      </c>
      <c r="C9" s="894" t="s">
        <v>978</v>
      </c>
      <c r="D9" s="896"/>
      <c r="E9" s="894" t="s">
        <v>478</v>
      </c>
      <c r="F9" s="896"/>
      <c r="G9" s="894" t="s">
        <v>39</v>
      </c>
      <c r="H9" s="896"/>
      <c r="I9" s="871" t="s">
        <v>106</v>
      </c>
      <c r="J9" s="871"/>
      <c r="K9" s="963" t="s">
        <v>261</v>
      </c>
    </row>
    <row r="10" spans="1:11" s="14" customFormat="1" ht="39.75" customHeight="1">
      <c r="A10" s="964"/>
      <c r="B10" s="964"/>
      <c r="C10" s="5" t="s">
        <v>40</v>
      </c>
      <c r="D10" s="5" t="s">
        <v>105</v>
      </c>
      <c r="E10" s="5" t="s">
        <v>40</v>
      </c>
      <c r="F10" s="5" t="s">
        <v>105</v>
      </c>
      <c r="G10" s="5" t="s">
        <v>40</v>
      </c>
      <c r="H10" s="5" t="s">
        <v>608</v>
      </c>
      <c r="I10" s="5" t="s">
        <v>609</v>
      </c>
      <c r="J10" s="5" t="s">
        <v>610</v>
      </c>
      <c r="K10" s="964"/>
    </row>
    <row r="11" spans="1:11" ht="12.75">
      <c r="A11" s="248">
        <v>1</v>
      </c>
      <c r="B11" s="248">
        <v>2</v>
      </c>
      <c r="C11" s="248">
        <v>3</v>
      </c>
      <c r="D11" s="248">
        <v>4</v>
      </c>
      <c r="E11" s="248">
        <v>5</v>
      </c>
      <c r="F11" s="248">
        <v>6</v>
      </c>
      <c r="G11" s="248">
        <v>7</v>
      </c>
      <c r="H11" s="248">
        <v>8</v>
      </c>
      <c r="I11" s="248">
        <v>9</v>
      </c>
      <c r="J11" s="248">
        <v>10</v>
      </c>
      <c r="K11" s="248">
        <v>11</v>
      </c>
    </row>
    <row r="12" spans="1:11" ht="12.75">
      <c r="A12" s="262">
        <v>1</v>
      </c>
      <c r="B12" s="647" t="s">
        <v>898</v>
      </c>
      <c r="C12" s="9">
        <v>2768</v>
      </c>
      <c r="D12" s="265">
        <f>C12*5000/100000</f>
        <v>138.4</v>
      </c>
      <c r="E12" s="9">
        <v>2020</v>
      </c>
      <c r="F12" s="269">
        <f>E12*5000/100000</f>
        <v>101</v>
      </c>
      <c r="G12" s="9"/>
      <c r="H12" s="9"/>
      <c r="I12" s="267">
        <f aca="true" t="shared" si="0" ref="I12:I38">C12-E12</f>
        <v>748</v>
      </c>
      <c r="J12" s="269">
        <f>I12*5000/100000</f>
        <v>37.4</v>
      </c>
      <c r="K12" s="9"/>
    </row>
    <row r="13" spans="1:11" ht="12.75">
      <c r="A13" s="260">
        <v>2</v>
      </c>
      <c r="B13" s="647" t="s">
        <v>899</v>
      </c>
      <c r="C13" s="9">
        <v>3464</v>
      </c>
      <c r="D13" s="265">
        <f aca="true" t="shared" si="1" ref="D13:D38">C13*5000/100000</f>
        <v>173.2</v>
      </c>
      <c r="E13" s="9">
        <v>2094</v>
      </c>
      <c r="F13" s="269">
        <f aca="true" t="shared" si="2" ref="F13:F38">E13*5000/100000</f>
        <v>104.7</v>
      </c>
      <c r="G13" s="9"/>
      <c r="H13" s="9"/>
      <c r="I13" s="267">
        <f t="shared" si="0"/>
        <v>1370</v>
      </c>
      <c r="J13" s="269">
        <f aca="true" t="shared" si="3" ref="J13:J38">I13*5000/100000</f>
        <v>68.5</v>
      </c>
      <c r="K13" s="248"/>
    </row>
    <row r="14" spans="1:11" ht="12.75">
      <c r="A14" s="260">
        <v>3</v>
      </c>
      <c r="B14" s="647" t="s">
        <v>839</v>
      </c>
      <c r="C14" s="9">
        <v>3459</v>
      </c>
      <c r="D14" s="265">
        <f t="shared" si="1"/>
        <v>172.95</v>
      </c>
      <c r="E14" s="9">
        <v>2048</v>
      </c>
      <c r="F14" s="269">
        <f t="shared" si="2"/>
        <v>102.4</v>
      </c>
      <c r="G14" s="9"/>
      <c r="H14" s="9"/>
      <c r="I14" s="267">
        <f t="shared" si="0"/>
        <v>1411</v>
      </c>
      <c r="J14" s="269">
        <f t="shared" si="3"/>
        <v>70.55</v>
      </c>
      <c r="K14" s="9"/>
    </row>
    <row r="15" spans="1:11" ht="12.75">
      <c r="A15" s="260">
        <v>4</v>
      </c>
      <c r="B15" s="647" t="s">
        <v>743</v>
      </c>
      <c r="C15" s="9">
        <v>3949</v>
      </c>
      <c r="D15" s="265">
        <f t="shared" si="1"/>
        <v>197.45</v>
      </c>
      <c r="E15" s="9">
        <v>2691</v>
      </c>
      <c r="F15" s="269">
        <f t="shared" si="2"/>
        <v>134.55</v>
      </c>
      <c r="G15" s="9"/>
      <c r="H15" s="9"/>
      <c r="I15" s="267">
        <f t="shared" si="0"/>
        <v>1258</v>
      </c>
      <c r="J15" s="269">
        <f t="shared" si="3"/>
        <v>62.9</v>
      </c>
      <c r="K15" s="248"/>
    </row>
    <row r="16" spans="1:11" ht="12.75">
      <c r="A16" s="260">
        <v>5</v>
      </c>
      <c r="B16" s="647" t="s">
        <v>748</v>
      </c>
      <c r="C16" s="9">
        <v>4780</v>
      </c>
      <c r="D16" s="265">
        <f t="shared" si="1"/>
        <v>239</v>
      </c>
      <c r="E16" s="9">
        <v>3035</v>
      </c>
      <c r="F16" s="269">
        <f t="shared" si="2"/>
        <v>151.75</v>
      </c>
      <c r="G16" s="9"/>
      <c r="H16" s="9"/>
      <c r="I16" s="267">
        <f t="shared" si="0"/>
        <v>1745</v>
      </c>
      <c r="J16" s="269">
        <f t="shared" si="3"/>
        <v>87.25</v>
      </c>
      <c r="K16" s="9"/>
    </row>
    <row r="17" spans="1:11" ht="12.75">
      <c r="A17" s="260">
        <v>6</v>
      </c>
      <c r="B17" s="647" t="s">
        <v>747</v>
      </c>
      <c r="C17" s="9">
        <v>4214</v>
      </c>
      <c r="D17" s="265">
        <f t="shared" si="1"/>
        <v>210.7</v>
      </c>
      <c r="E17" s="9">
        <v>2727</v>
      </c>
      <c r="F17" s="269">
        <f t="shared" si="2"/>
        <v>136.35</v>
      </c>
      <c r="G17" s="9"/>
      <c r="H17" s="9"/>
      <c r="I17" s="267">
        <f t="shared" si="0"/>
        <v>1487</v>
      </c>
      <c r="J17" s="269">
        <f t="shared" si="3"/>
        <v>74.35</v>
      </c>
      <c r="K17" s="9"/>
    </row>
    <row r="18" spans="1:11" ht="12.75">
      <c r="A18" s="260">
        <v>7</v>
      </c>
      <c r="B18" s="647" t="s">
        <v>737</v>
      </c>
      <c r="C18" s="9">
        <v>1516</v>
      </c>
      <c r="D18" s="265">
        <f t="shared" si="1"/>
        <v>75.8</v>
      </c>
      <c r="E18" s="9">
        <v>1033</v>
      </c>
      <c r="F18" s="269">
        <f t="shared" si="2"/>
        <v>51.65</v>
      </c>
      <c r="G18" s="9"/>
      <c r="H18" s="9"/>
      <c r="I18" s="267">
        <f t="shared" si="0"/>
        <v>483</v>
      </c>
      <c r="J18" s="269">
        <f t="shared" si="3"/>
        <v>24.15</v>
      </c>
      <c r="K18" s="248"/>
    </row>
    <row r="19" spans="1:11" ht="12.75">
      <c r="A19" s="260">
        <v>8</v>
      </c>
      <c r="B19" s="647" t="s">
        <v>749</v>
      </c>
      <c r="C19" s="9">
        <v>1900</v>
      </c>
      <c r="D19" s="265">
        <f t="shared" si="1"/>
        <v>95</v>
      </c>
      <c r="E19" s="9">
        <v>1364</v>
      </c>
      <c r="F19" s="269">
        <f t="shared" si="2"/>
        <v>68.2</v>
      </c>
      <c r="G19" s="9"/>
      <c r="H19" s="9"/>
      <c r="I19" s="267">
        <f t="shared" si="0"/>
        <v>536</v>
      </c>
      <c r="J19" s="269">
        <f t="shared" si="3"/>
        <v>26.8</v>
      </c>
      <c r="K19" s="9"/>
    </row>
    <row r="20" spans="1:11" ht="12.75">
      <c r="A20" s="260">
        <v>9</v>
      </c>
      <c r="B20" s="647" t="s">
        <v>834</v>
      </c>
      <c r="C20" s="9">
        <v>3670</v>
      </c>
      <c r="D20" s="265">
        <f t="shared" si="1"/>
        <v>183.5</v>
      </c>
      <c r="E20" s="9">
        <v>2425</v>
      </c>
      <c r="F20" s="269">
        <f t="shared" si="2"/>
        <v>121.25</v>
      </c>
      <c r="G20" s="9"/>
      <c r="H20" s="9"/>
      <c r="I20" s="267">
        <f t="shared" si="0"/>
        <v>1245</v>
      </c>
      <c r="J20" s="269">
        <f t="shared" si="3"/>
        <v>62.25</v>
      </c>
      <c r="K20" s="248"/>
    </row>
    <row r="21" spans="1:11" ht="12.75">
      <c r="A21" s="260">
        <v>10</v>
      </c>
      <c r="B21" s="647" t="s">
        <v>739</v>
      </c>
      <c r="C21" s="9">
        <v>1011</v>
      </c>
      <c r="D21" s="265">
        <f t="shared" si="1"/>
        <v>50.55</v>
      </c>
      <c r="E21" s="9">
        <v>596</v>
      </c>
      <c r="F21" s="269">
        <f t="shared" si="2"/>
        <v>29.8</v>
      </c>
      <c r="G21" s="9"/>
      <c r="H21" s="9"/>
      <c r="I21" s="267">
        <f t="shared" si="0"/>
        <v>415</v>
      </c>
      <c r="J21" s="269">
        <f t="shared" si="3"/>
        <v>20.75</v>
      </c>
      <c r="K21" s="9"/>
    </row>
    <row r="22" spans="1:11" ht="12.75">
      <c r="A22" s="260">
        <v>11</v>
      </c>
      <c r="B22" s="647" t="s">
        <v>900</v>
      </c>
      <c r="C22" s="9">
        <v>2365</v>
      </c>
      <c r="D22" s="265">
        <f t="shared" si="1"/>
        <v>118.25</v>
      </c>
      <c r="E22" s="9">
        <v>1020</v>
      </c>
      <c r="F22" s="269">
        <f t="shared" si="2"/>
        <v>51</v>
      </c>
      <c r="G22" s="9"/>
      <c r="H22" s="9"/>
      <c r="I22" s="267">
        <f t="shared" si="0"/>
        <v>1345</v>
      </c>
      <c r="J22" s="269">
        <f t="shared" si="3"/>
        <v>67.25</v>
      </c>
      <c r="K22" s="9"/>
    </row>
    <row r="23" spans="1:11" ht="12.75">
      <c r="A23" s="260">
        <v>12</v>
      </c>
      <c r="B23" s="647" t="s">
        <v>731</v>
      </c>
      <c r="C23" s="9">
        <v>3218</v>
      </c>
      <c r="D23" s="265">
        <f t="shared" si="1"/>
        <v>160.9</v>
      </c>
      <c r="E23" s="9">
        <v>1989</v>
      </c>
      <c r="F23" s="269">
        <f t="shared" si="2"/>
        <v>99.45</v>
      </c>
      <c r="G23" s="9"/>
      <c r="H23" s="9"/>
      <c r="I23" s="267">
        <f t="shared" si="0"/>
        <v>1229</v>
      </c>
      <c r="J23" s="269">
        <f t="shared" si="3"/>
        <v>61.45</v>
      </c>
      <c r="K23" s="8"/>
    </row>
    <row r="24" spans="1:11" ht="12.75">
      <c r="A24" s="260">
        <v>13</v>
      </c>
      <c r="B24" s="647" t="s">
        <v>742</v>
      </c>
      <c r="C24" s="9">
        <v>2148</v>
      </c>
      <c r="D24" s="265">
        <f t="shared" si="1"/>
        <v>107.4</v>
      </c>
      <c r="E24" s="9">
        <v>1338</v>
      </c>
      <c r="F24" s="269">
        <f t="shared" si="2"/>
        <v>66.9</v>
      </c>
      <c r="G24" s="9"/>
      <c r="H24" s="9"/>
      <c r="I24" s="267">
        <f t="shared" si="0"/>
        <v>810</v>
      </c>
      <c r="J24" s="269">
        <f t="shared" si="3"/>
        <v>40.5</v>
      </c>
      <c r="K24" s="248"/>
    </row>
    <row r="25" spans="1:11" ht="12.75">
      <c r="A25" s="260">
        <v>14</v>
      </c>
      <c r="B25" s="647" t="s">
        <v>740</v>
      </c>
      <c r="C25" s="9">
        <v>1783</v>
      </c>
      <c r="D25" s="265">
        <f t="shared" si="1"/>
        <v>89.15</v>
      </c>
      <c r="E25" s="9">
        <v>1166</v>
      </c>
      <c r="F25" s="269">
        <f t="shared" si="2"/>
        <v>58.3</v>
      </c>
      <c r="G25" s="9"/>
      <c r="H25" s="9"/>
      <c r="I25" s="267">
        <f t="shared" si="0"/>
        <v>617</v>
      </c>
      <c r="J25" s="269">
        <f t="shared" si="3"/>
        <v>30.85</v>
      </c>
      <c r="K25" s="248"/>
    </row>
    <row r="26" spans="1:11" ht="12.75">
      <c r="A26" s="260">
        <v>15</v>
      </c>
      <c r="B26" s="647" t="s">
        <v>734</v>
      </c>
      <c r="C26" s="9">
        <v>2521</v>
      </c>
      <c r="D26" s="265">
        <f t="shared" si="1"/>
        <v>126.05</v>
      </c>
      <c r="E26" s="9">
        <v>1549</v>
      </c>
      <c r="F26" s="269">
        <f t="shared" si="2"/>
        <v>77.45</v>
      </c>
      <c r="G26" s="9"/>
      <c r="H26" s="9"/>
      <c r="I26" s="267">
        <f t="shared" si="0"/>
        <v>972</v>
      </c>
      <c r="J26" s="269">
        <f t="shared" si="3"/>
        <v>48.6</v>
      </c>
      <c r="K26" s="248"/>
    </row>
    <row r="27" spans="1:11" ht="12.75">
      <c r="A27" s="260">
        <v>16</v>
      </c>
      <c r="B27" s="647" t="s">
        <v>741</v>
      </c>
      <c r="C27" s="9">
        <v>2846</v>
      </c>
      <c r="D27" s="265">
        <f t="shared" si="1"/>
        <v>142.3</v>
      </c>
      <c r="E27" s="9">
        <v>1890</v>
      </c>
      <c r="F27" s="269">
        <f t="shared" si="2"/>
        <v>94.5</v>
      </c>
      <c r="G27" s="9"/>
      <c r="H27" s="9"/>
      <c r="I27" s="267">
        <f t="shared" si="0"/>
        <v>956</v>
      </c>
      <c r="J27" s="269">
        <f t="shared" si="3"/>
        <v>47.8</v>
      </c>
      <c r="K27" s="248"/>
    </row>
    <row r="28" spans="1:11" ht="12.75">
      <c r="A28" s="260">
        <v>17</v>
      </c>
      <c r="B28" s="647" t="s">
        <v>733</v>
      </c>
      <c r="C28" s="9">
        <v>2410</v>
      </c>
      <c r="D28" s="265">
        <f t="shared" si="1"/>
        <v>120.5</v>
      </c>
      <c r="E28" s="9">
        <v>1445</v>
      </c>
      <c r="F28" s="269">
        <f t="shared" si="2"/>
        <v>72.25</v>
      </c>
      <c r="G28" s="9"/>
      <c r="H28" s="9"/>
      <c r="I28" s="267">
        <f t="shared" si="0"/>
        <v>965</v>
      </c>
      <c r="J28" s="269">
        <f t="shared" si="3"/>
        <v>48.25</v>
      </c>
      <c r="K28" s="8"/>
    </row>
    <row r="29" spans="1:11" ht="12.75">
      <c r="A29" s="260">
        <v>18</v>
      </c>
      <c r="B29" s="647" t="s">
        <v>735</v>
      </c>
      <c r="C29" s="9">
        <v>3693</v>
      </c>
      <c r="D29" s="265">
        <f t="shared" si="1"/>
        <v>184.65</v>
      </c>
      <c r="E29" s="9">
        <v>2435</v>
      </c>
      <c r="F29" s="269">
        <f t="shared" si="2"/>
        <v>121.75</v>
      </c>
      <c r="G29" s="9"/>
      <c r="H29" s="9"/>
      <c r="I29" s="267">
        <f t="shared" si="0"/>
        <v>1258</v>
      </c>
      <c r="J29" s="269">
        <f t="shared" si="3"/>
        <v>62.9</v>
      </c>
      <c r="K29" s="8"/>
    </row>
    <row r="30" spans="1:11" ht="12.75">
      <c r="A30" s="260">
        <v>19</v>
      </c>
      <c r="B30" s="647" t="s">
        <v>732</v>
      </c>
      <c r="C30" s="9">
        <v>3627</v>
      </c>
      <c r="D30" s="265">
        <f t="shared" si="1"/>
        <v>181.35</v>
      </c>
      <c r="E30" s="9">
        <v>2146</v>
      </c>
      <c r="F30" s="269">
        <f t="shared" si="2"/>
        <v>107.3</v>
      </c>
      <c r="G30" s="9"/>
      <c r="H30" s="9"/>
      <c r="I30" s="267">
        <f t="shared" si="0"/>
        <v>1481</v>
      </c>
      <c r="J30" s="269">
        <f t="shared" si="3"/>
        <v>74.05</v>
      </c>
      <c r="K30" s="8"/>
    </row>
    <row r="31" spans="1:11" ht="12.75">
      <c r="A31" s="260">
        <v>20</v>
      </c>
      <c r="B31" s="647" t="s">
        <v>836</v>
      </c>
      <c r="C31" s="9">
        <v>4096</v>
      </c>
      <c r="D31" s="265">
        <f t="shared" si="1"/>
        <v>204.8</v>
      </c>
      <c r="E31" s="9">
        <v>2417</v>
      </c>
      <c r="F31" s="269">
        <f t="shared" si="2"/>
        <v>120.85</v>
      </c>
      <c r="G31" s="9"/>
      <c r="H31" s="9"/>
      <c r="I31" s="267">
        <f t="shared" si="0"/>
        <v>1679</v>
      </c>
      <c r="J31" s="269">
        <f t="shared" si="3"/>
        <v>83.95</v>
      </c>
      <c r="K31" s="8"/>
    </row>
    <row r="32" spans="1:11" ht="12.75">
      <c r="A32" s="260">
        <v>21</v>
      </c>
      <c r="B32" s="647" t="s">
        <v>729</v>
      </c>
      <c r="C32" s="9">
        <v>2520</v>
      </c>
      <c r="D32" s="265">
        <f t="shared" si="1"/>
        <v>126</v>
      </c>
      <c r="E32" s="9">
        <v>1636</v>
      </c>
      <c r="F32" s="269">
        <f t="shared" si="2"/>
        <v>81.8</v>
      </c>
      <c r="G32" s="9"/>
      <c r="H32" s="9"/>
      <c r="I32" s="267">
        <f t="shared" si="0"/>
        <v>884</v>
      </c>
      <c r="J32" s="269">
        <f t="shared" si="3"/>
        <v>44.2</v>
      </c>
      <c r="K32" s="8"/>
    </row>
    <row r="33" spans="1:11" ht="12.75">
      <c r="A33" s="260">
        <v>22</v>
      </c>
      <c r="B33" s="647" t="s">
        <v>746</v>
      </c>
      <c r="C33" s="9">
        <v>3132</v>
      </c>
      <c r="D33" s="265">
        <f t="shared" si="1"/>
        <v>156.6</v>
      </c>
      <c r="E33" s="9">
        <v>1870</v>
      </c>
      <c r="F33" s="269">
        <f t="shared" si="2"/>
        <v>93.5</v>
      </c>
      <c r="G33" s="9"/>
      <c r="H33" s="9"/>
      <c r="I33" s="267">
        <f t="shared" si="0"/>
        <v>1262</v>
      </c>
      <c r="J33" s="269">
        <f t="shared" si="3"/>
        <v>63.1</v>
      </c>
      <c r="K33" s="9"/>
    </row>
    <row r="34" spans="1:11" ht="12.75">
      <c r="A34" s="260">
        <v>23</v>
      </c>
      <c r="B34" s="647" t="s">
        <v>738</v>
      </c>
      <c r="C34" s="9">
        <v>2279</v>
      </c>
      <c r="D34" s="265">
        <f t="shared" si="1"/>
        <v>113.95</v>
      </c>
      <c r="E34" s="9">
        <v>1405</v>
      </c>
      <c r="F34" s="269">
        <f t="shared" si="2"/>
        <v>70.25</v>
      </c>
      <c r="G34" s="9"/>
      <c r="H34" s="9"/>
      <c r="I34" s="267">
        <f t="shared" si="0"/>
        <v>874</v>
      </c>
      <c r="J34" s="269">
        <f t="shared" si="3"/>
        <v>43.7</v>
      </c>
      <c r="K34" s="248"/>
    </row>
    <row r="35" spans="1:11" ht="12.75">
      <c r="A35" s="260">
        <v>24</v>
      </c>
      <c r="B35" s="647" t="s">
        <v>730</v>
      </c>
      <c r="C35" s="9">
        <v>3851</v>
      </c>
      <c r="D35" s="265">
        <f t="shared" si="1"/>
        <v>192.55</v>
      </c>
      <c r="E35" s="9">
        <v>2261</v>
      </c>
      <c r="F35" s="269">
        <f t="shared" si="2"/>
        <v>113.05</v>
      </c>
      <c r="G35" s="9"/>
      <c r="H35" s="9"/>
      <c r="I35" s="267">
        <f t="shared" si="0"/>
        <v>1590</v>
      </c>
      <c r="J35" s="269">
        <f t="shared" si="3"/>
        <v>79.5</v>
      </c>
      <c r="K35" s="8"/>
    </row>
    <row r="36" spans="1:11" ht="12.75">
      <c r="A36" s="260">
        <v>25</v>
      </c>
      <c r="B36" s="647" t="s">
        <v>736</v>
      </c>
      <c r="C36" s="9">
        <v>1628</v>
      </c>
      <c r="D36" s="265">
        <f t="shared" si="1"/>
        <v>81.4</v>
      </c>
      <c r="E36" s="9">
        <v>1005</v>
      </c>
      <c r="F36" s="269">
        <f t="shared" si="2"/>
        <v>50.25</v>
      </c>
      <c r="G36" s="9"/>
      <c r="H36" s="9"/>
      <c r="I36" s="267">
        <f t="shared" si="0"/>
        <v>623</v>
      </c>
      <c r="J36" s="269">
        <f t="shared" si="3"/>
        <v>31.15</v>
      </c>
      <c r="K36" s="248"/>
    </row>
    <row r="37" spans="1:11" s="12" customFormat="1" ht="12.75">
      <c r="A37" s="260">
        <v>26</v>
      </c>
      <c r="B37" s="647" t="s">
        <v>744</v>
      </c>
      <c r="C37" s="9">
        <v>1582</v>
      </c>
      <c r="D37" s="265">
        <f t="shared" si="1"/>
        <v>79.1</v>
      </c>
      <c r="E37" s="9">
        <v>939</v>
      </c>
      <c r="F37" s="269">
        <f t="shared" si="2"/>
        <v>46.95</v>
      </c>
      <c r="G37" s="9"/>
      <c r="H37" s="9"/>
      <c r="I37" s="267">
        <f t="shared" si="0"/>
        <v>643</v>
      </c>
      <c r="J37" s="269">
        <f t="shared" si="3"/>
        <v>32.15</v>
      </c>
      <c r="K37" s="248"/>
    </row>
    <row r="38" spans="1:11" s="12" customFormat="1" ht="12.75">
      <c r="A38" s="262">
        <v>27</v>
      </c>
      <c r="B38" s="647" t="s">
        <v>745</v>
      </c>
      <c r="C38" s="9">
        <v>1580</v>
      </c>
      <c r="D38" s="265">
        <f t="shared" si="1"/>
        <v>79</v>
      </c>
      <c r="E38" s="9">
        <v>1030</v>
      </c>
      <c r="F38" s="269">
        <f t="shared" si="2"/>
        <v>51.5</v>
      </c>
      <c r="G38" s="9"/>
      <c r="H38" s="9"/>
      <c r="I38" s="267">
        <f t="shared" si="0"/>
        <v>550</v>
      </c>
      <c r="J38" s="269">
        <f t="shared" si="3"/>
        <v>27.5</v>
      </c>
      <c r="K38" s="9"/>
    </row>
    <row r="39" spans="1:11" s="12" customFormat="1" ht="12.75">
      <c r="A39" s="3" t="s">
        <v>19</v>
      </c>
      <c r="B39" s="9"/>
      <c r="C39" s="9">
        <f>SUM(C12:C38)</f>
        <v>76010</v>
      </c>
      <c r="D39" s="266">
        <f>SUM(D12:D38)</f>
        <v>3800.5000000000005</v>
      </c>
      <c r="E39" s="270">
        <f>SUM(E12:E38)</f>
        <v>47574</v>
      </c>
      <c r="F39" s="266">
        <f>SUM(F12:F38)</f>
        <v>2378.7</v>
      </c>
      <c r="G39" s="9"/>
      <c r="H39" s="9"/>
      <c r="I39" s="270">
        <f>SUM(I12:I38)</f>
        <v>28436</v>
      </c>
      <c r="J39" s="266">
        <f>SUM(J12:J38)</f>
        <v>1421.8000000000002</v>
      </c>
      <c r="K39" s="9"/>
    </row>
    <row r="40" s="12" customFormat="1" ht="12.75"/>
    <row r="41" s="12" customFormat="1" ht="12.75">
      <c r="A41" s="10" t="s">
        <v>41</v>
      </c>
    </row>
    <row r="42" spans="3:6" ht="15.75" customHeight="1">
      <c r="C42" s="1066"/>
      <c r="D42" s="1066"/>
      <c r="E42" s="1066"/>
      <c r="F42" s="1066"/>
    </row>
    <row r="43" spans="2:11" s="15" customFormat="1" ht="13.5" customHeight="1"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spans="1:11" s="15" customFormat="1" ht="12.75" customHeight="1">
      <c r="A44" s="83"/>
      <c r="B44" s="83"/>
      <c r="C44" s="83"/>
      <c r="D44" s="83"/>
      <c r="E44" s="83"/>
      <c r="F44" s="14"/>
      <c r="G44" s="14"/>
      <c r="H44" s="881" t="s">
        <v>13</v>
      </c>
      <c r="I44" s="881"/>
      <c r="J44" s="83"/>
      <c r="K44" s="14"/>
    </row>
    <row r="45" spans="1:11" s="15" customFormat="1" ht="12.75" customHeight="1">
      <c r="A45" s="83"/>
      <c r="B45" s="83"/>
      <c r="C45" s="83"/>
      <c r="D45" s="83"/>
      <c r="E45" s="83"/>
      <c r="F45" s="83"/>
      <c r="G45" s="881" t="s">
        <v>14</v>
      </c>
      <c r="H45" s="881"/>
      <c r="I45" s="881"/>
      <c r="J45" s="881"/>
      <c r="K45" s="83"/>
    </row>
    <row r="46" spans="1:11" s="15" customFormat="1" ht="12.75">
      <c r="A46" s="14" t="s">
        <v>22</v>
      </c>
      <c r="B46" s="14"/>
      <c r="C46" s="14"/>
      <c r="D46" s="14"/>
      <c r="E46" s="14"/>
      <c r="F46" s="881" t="s">
        <v>637</v>
      </c>
      <c r="G46" s="881"/>
      <c r="H46" s="881"/>
      <c r="I46" s="881"/>
      <c r="J46" s="881"/>
      <c r="K46" s="881"/>
    </row>
    <row r="47" spans="1:11" s="15" customFormat="1" ht="12.75">
      <c r="A47" s="14"/>
      <c r="F47" s="14"/>
      <c r="G47" s="14"/>
      <c r="H47" s="1" t="s">
        <v>84</v>
      </c>
      <c r="I47" s="1"/>
      <c r="J47" s="1"/>
      <c r="K47" s="1"/>
    </row>
    <row r="48" spans="1:10" ht="12.75">
      <c r="A48" s="965"/>
      <c r="B48" s="965"/>
      <c r="C48" s="965"/>
      <c r="D48" s="965"/>
      <c r="E48" s="965"/>
      <c r="F48" s="965"/>
      <c r="G48" s="965"/>
      <c r="H48" s="965"/>
      <c r="I48" s="965"/>
      <c r="J48" s="965"/>
    </row>
  </sheetData>
  <sheetProtection/>
  <mergeCells count="19">
    <mergeCell ref="I7:K7"/>
    <mergeCell ref="D1:E1"/>
    <mergeCell ref="J1:K1"/>
    <mergeCell ref="A2:J2"/>
    <mergeCell ref="A3:J3"/>
    <mergeCell ref="A5:K5"/>
    <mergeCell ref="C8:J8"/>
    <mergeCell ref="A9:A10"/>
    <mergeCell ref="B9:B10"/>
    <mergeCell ref="C9:D9"/>
    <mergeCell ref="E9:F9"/>
    <mergeCell ref="G9:H9"/>
    <mergeCell ref="I9:J9"/>
    <mergeCell ref="A48:J48"/>
    <mergeCell ref="K9:K10"/>
    <mergeCell ref="C42:F42"/>
    <mergeCell ref="H44:I44"/>
    <mergeCell ref="G45:J45"/>
    <mergeCell ref="F46:K46"/>
  </mergeCells>
  <printOptions horizontalCentered="1"/>
  <pageMargins left="0.7086614173228347" right="0.7086614173228347" top="0.61" bottom="0" header="0.78" footer="0.31496062992125984"/>
  <pageSetup fitToHeight="1" fitToWidth="1" horizontalDpi="600" verticalDpi="600" orientation="landscape" paperSize="9" scale="7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L43"/>
  <sheetViews>
    <sheetView view="pageBreakPreview" zoomScaleSheetLayoutView="100" zoomScalePageLayoutView="0" workbookViewId="0" topLeftCell="A18">
      <selection activeCell="L15" sqref="L15"/>
    </sheetView>
  </sheetViews>
  <sheetFormatPr defaultColWidth="9.140625" defaultRowHeight="12.75"/>
  <cols>
    <col min="1" max="1" width="7.140625" style="0" customWidth="1"/>
    <col min="2" max="2" width="14.8515625" style="0" customWidth="1"/>
    <col min="3" max="3" width="14.57421875" style="0" customWidth="1"/>
    <col min="4" max="4" width="16.57421875" style="405" customWidth="1"/>
    <col min="5" max="8" width="18.421875" style="405" customWidth="1"/>
  </cols>
  <sheetData>
    <row r="1" ht="12.75">
      <c r="H1" s="406" t="s">
        <v>666</v>
      </c>
    </row>
    <row r="2" spans="1:12" ht="18">
      <c r="A2" s="958" t="s">
        <v>0</v>
      </c>
      <c r="B2" s="958"/>
      <c r="C2" s="958"/>
      <c r="D2" s="958"/>
      <c r="E2" s="958"/>
      <c r="F2" s="958"/>
      <c r="G2" s="958"/>
      <c r="H2" s="958"/>
      <c r="I2" s="385"/>
      <c r="J2" s="385"/>
      <c r="K2" s="385"/>
      <c r="L2" s="385"/>
    </row>
    <row r="3" spans="1:12" ht="21">
      <c r="A3" s="959" t="s">
        <v>859</v>
      </c>
      <c r="B3" s="959"/>
      <c r="C3" s="959"/>
      <c r="D3" s="959"/>
      <c r="E3" s="959"/>
      <c r="F3" s="959"/>
      <c r="G3" s="959"/>
      <c r="H3" s="959"/>
      <c r="I3" s="386"/>
      <c r="J3" s="386"/>
      <c r="K3" s="386"/>
      <c r="L3" s="386"/>
    </row>
    <row r="4" spans="1:12" ht="15">
      <c r="A4" s="191"/>
      <c r="B4" s="191"/>
      <c r="C4" s="191"/>
      <c r="D4" s="407"/>
      <c r="E4" s="407"/>
      <c r="F4" s="407"/>
      <c r="G4" s="407"/>
      <c r="H4" s="407"/>
      <c r="I4" s="191"/>
      <c r="J4" s="191"/>
      <c r="K4" s="191"/>
      <c r="L4" s="191"/>
    </row>
    <row r="5" spans="1:12" ht="18">
      <c r="A5" s="958" t="s">
        <v>667</v>
      </c>
      <c r="B5" s="958"/>
      <c r="C5" s="958"/>
      <c r="D5" s="958"/>
      <c r="E5" s="958"/>
      <c r="F5" s="958"/>
      <c r="G5" s="958"/>
      <c r="H5" s="958"/>
      <c r="I5" s="385"/>
      <c r="J5" s="385"/>
      <c r="K5" s="385"/>
      <c r="L5" s="385"/>
    </row>
    <row r="6" spans="1:12" ht="15">
      <c r="A6" s="192" t="s">
        <v>706</v>
      </c>
      <c r="B6" s="192"/>
      <c r="C6" s="191"/>
      <c r="D6" s="407"/>
      <c r="E6" s="407"/>
      <c r="F6" s="1069" t="s">
        <v>826</v>
      </c>
      <c r="G6" s="1069"/>
      <c r="H6" s="1069"/>
      <c r="I6" s="408"/>
      <c r="J6" s="408"/>
      <c r="K6" s="1070"/>
      <c r="L6" s="1070"/>
    </row>
    <row r="7" spans="1:8" ht="31.5" customHeight="1">
      <c r="A7" s="1036" t="s">
        <v>2</v>
      </c>
      <c r="B7" s="1036" t="s">
        <v>3</v>
      </c>
      <c r="C7" s="1071" t="s">
        <v>389</v>
      </c>
      <c r="D7" s="1072" t="s">
        <v>496</v>
      </c>
      <c r="E7" s="1073"/>
      <c r="F7" s="1073"/>
      <c r="G7" s="1073"/>
      <c r="H7" s="1074"/>
    </row>
    <row r="8" spans="1:8" ht="37.5" customHeight="1">
      <c r="A8" s="1036"/>
      <c r="B8" s="1036"/>
      <c r="C8" s="1071"/>
      <c r="D8" s="409" t="s">
        <v>497</v>
      </c>
      <c r="E8" s="409" t="s">
        <v>498</v>
      </c>
      <c r="F8" s="409" t="s">
        <v>499</v>
      </c>
      <c r="G8" s="409" t="s">
        <v>1048</v>
      </c>
      <c r="H8" s="409" t="s">
        <v>47</v>
      </c>
    </row>
    <row r="9" spans="1:8" ht="15">
      <c r="A9" s="383">
        <v>1</v>
      </c>
      <c r="B9" s="383">
        <v>2</v>
      </c>
      <c r="C9" s="383">
        <v>3</v>
      </c>
      <c r="D9" s="410">
        <v>4</v>
      </c>
      <c r="E9" s="410">
        <v>5</v>
      </c>
      <c r="F9" s="410">
        <v>6</v>
      </c>
      <c r="G9" s="383">
        <v>7</v>
      </c>
      <c r="H9" s="383">
        <v>8</v>
      </c>
    </row>
    <row r="10" spans="1:8" ht="15">
      <c r="A10" s="262">
        <v>1</v>
      </c>
      <c r="B10" s="647" t="s">
        <v>898</v>
      </c>
      <c r="C10" s="513">
        <f>'AT3A_cvrg(Insti)_PY'!H38+'AT3C_cvrg(Insti)_UPY '!G37</f>
        <v>941</v>
      </c>
      <c r="D10" s="671">
        <v>32</v>
      </c>
      <c r="E10" s="514">
        <v>0</v>
      </c>
      <c r="F10" s="514">
        <f aca="true" t="shared" si="0" ref="F10:F36">C10-D10-E10-H10</f>
        <v>908</v>
      </c>
      <c r="G10" s="421">
        <v>0</v>
      </c>
      <c r="H10" s="671">
        <v>1</v>
      </c>
    </row>
    <row r="11" spans="1:8" ht="15">
      <c r="A11" s="260">
        <v>2</v>
      </c>
      <c r="B11" s="647" t="s">
        <v>899</v>
      </c>
      <c r="C11" s="513">
        <f>'AT3A_cvrg(Insti)_PY'!H14+'AT3C_cvrg(Insti)_UPY '!G13</f>
        <v>1935</v>
      </c>
      <c r="D11" s="671">
        <v>2</v>
      </c>
      <c r="E11" s="514">
        <v>0</v>
      </c>
      <c r="F11" s="514">
        <f t="shared" si="0"/>
        <v>1910</v>
      </c>
      <c r="G11" s="420">
        <v>0</v>
      </c>
      <c r="H11" s="671">
        <v>23</v>
      </c>
    </row>
    <row r="12" spans="1:8" ht="15">
      <c r="A12" s="260">
        <v>3</v>
      </c>
      <c r="B12" s="647" t="s">
        <v>839</v>
      </c>
      <c r="C12" s="513">
        <f>'AT3A_cvrg(Insti)_PY'!H36+'AT3C_cvrg(Insti)_UPY '!G35</f>
        <v>884</v>
      </c>
      <c r="D12" s="671">
        <v>30</v>
      </c>
      <c r="E12" s="514">
        <v>0</v>
      </c>
      <c r="F12" s="514">
        <f t="shared" si="0"/>
        <v>854</v>
      </c>
      <c r="G12" s="698">
        <v>123</v>
      </c>
      <c r="H12" s="671">
        <v>0</v>
      </c>
    </row>
    <row r="13" spans="1:8" ht="15">
      <c r="A13" s="260">
        <v>4</v>
      </c>
      <c r="B13" s="647" t="s">
        <v>743</v>
      </c>
      <c r="C13" s="513">
        <f>'AT3A_cvrg(Insti)_PY'!H18+'AT3C_cvrg(Insti)_UPY '!G17</f>
        <v>969</v>
      </c>
      <c r="D13" s="671">
        <v>31</v>
      </c>
      <c r="E13" s="514">
        <v>0</v>
      </c>
      <c r="F13" s="514">
        <f t="shared" si="0"/>
        <v>936</v>
      </c>
      <c r="G13" s="698">
        <v>103</v>
      </c>
      <c r="H13" s="671">
        <v>2</v>
      </c>
    </row>
    <row r="14" spans="1:8" ht="15">
      <c r="A14" s="260">
        <v>5</v>
      </c>
      <c r="B14" s="647" t="s">
        <v>748</v>
      </c>
      <c r="C14" s="513">
        <f>'AT3A_cvrg(Insti)_PY'!H33+'AT3C_cvrg(Insti)_UPY '!G32</f>
        <v>1808</v>
      </c>
      <c r="D14" s="671">
        <v>8</v>
      </c>
      <c r="E14" s="514">
        <v>0</v>
      </c>
      <c r="F14" s="514">
        <f t="shared" si="0"/>
        <v>1800</v>
      </c>
      <c r="G14" s="423">
        <v>0</v>
      </c>
      <c r="H14" s="671">
        <v>0</v>
      </c>
    </row>
    <row r="15" spans="1:8" ht="15">
      <c r="A15" s="260">
        <v>6</v>
      </c>
      <c r="B15" s="647" t="s">
        <v>747</v>
      </c>
      <c r="C15" s="513">
        <f>'AT3A_cvrg(Insti)_PY'!H35+'AT3C_cvrg(Insti)_UPY '!G34</f>
        <v>2207</v>
      </c>
      <c r="D15" s="671">
        <v>83</v>
      </c>
      <c r="E15" s="514">
        <v>0</v>
      </c>
      <c r="F15" s="514">
        <f t="shared" si="0"/>
        <v>2121</v>
      </c>
      <c r="G15" s="421">
        <v>0</v>
      </c>
      <c r="H15" s="671">
        <v>3</v>
      </c>
    </row>
    <row r="16" spans="1:8" ht="15">
      <c r="A16" s="260">
        <v>7</v>
      </c>
      <c r="B16" s="647" t="s">
        <v>737</v>
      </c>
      <c r="C16" s="513">
        <f>'AT3A_cvrg(Insti)_PY'!H21+'AT3C_cvrg(Insti)_UPY '!G20</f>
        <v>567</v>
      </c>
      <c r="D16" s="671">
        <v>35</v>
      </c>
      <c r="E16" s="514">
        <v>0</v>
      </c>
      <c r="F16" s="514">
        <f t="shared" si="0"/>
        <v>529</v>
      </c>
      <c r="G16" s="422">
        <v>172</v>
      </c>
      <c r="H16" s="671">
        <v>3</v>
      </c>
    </row>
    <row r="17" spans="1:8" ht="15">
      <c r="A17" s="260">
        <v>8</v>
      </c>
      <c r="B17" s="647" t="s">
        <v>749</v>
      </c>
      <c r="C17" s="513">
        <f>'AT3A_cvrg(Insti)_PY'!H34+'AT3C_cvrg(Insti)_UPY '!G33</f>
        <v>1336</v>
      </c>
      <c r="D17" s="671">
        <v>42</v>
      </c>
      <c r="E17" s="514">
        <v>0</v>
      </c>
      <c r="F17" s="514">
        <f t="shared" si="0"/>
        <v>1294</v>
      </c>
      <c r="G17" s="698">
        <v>226</v>
      </c>
      <c r="H17" s="671">
        <v>0</v>
      </c>
    </row>
    <row r="18" spans="1:8" ht="15">
      <c r="A18" s="260">
        <v>9</v>
      </c>
      <c r="B18" s="647" t="s">
        <v>834</v>
      </c>
      <c r="C18" s="513">
        <f>'AT3A_cvrg(Insti)_PY'!H15+'AT3C_cvrg(Insti)_UPY '!G14</f>
        <v>2503</v>
      </c>
      <c r="D18" s="671">
        <v>338</v>
      </c>
      <c r="E18" s="514">
        <v>0</v>
      </c>
      <c r="F18" s="514">
        <f t="shared" si="0"/>
        <v>2161</v>
      </c>
      <c r="G18" s="700">
        <v>0</v>
      </c>
      <c r="H18" s="671">
        <v>4</v>
      </c>
    </row>
    <row r="19" spans="1:8" ht="15">
      <c r="A19" s="260">
        <v>10</v>
      </c>
      <c r="B19" s="647" t="s">
        <v>739</v>
      </c>
      <c r="C19" s="513">
        <f>'AT3A_cvrg(Insti)_PY'!H32+'AT3C_cvrg(Insti)_UPY '!G31</f>
        <v>1480</v>
      </c>
      <c r="D19" s="671">
        <v>1</v>
      </c>
      <c r="E19" s="514">
        <v>0</v>
      </c>
      <c r="F19" s="514">
        <f t="shared" si="0"/>
        <v>1479</v>
      </c>
      <c r="G19" s="699">
        <v>0</v>
      </c>
      <c r="H19" s="671">
        <v>0</v>
      </c>
    </row>
    <row r="20" spans="1:8" ht="15">
      <c r="A20" s="260">
        <v>11</v>
      </c>
      <c r="B20" s="647" t="s">
        <v>900</v>
      </c>
      <c r="C20" s="513">
        <f>'AT3A_cvrg(Insti)_PY'!H37+'AT3C_cvrg(Insti)_UPY '!G36</f>
        <v>887</v>
      </c>
      <c r="D20" s="671">
        <v>0</v>
      </c>
      <c r="E20" s="514">
        <v>0</v>
      </c>
      <c r="F20" s="514">
        <f t="shared" si="0"/>
        <v>887</v>
      </c>
      <c r="G20" s="421">
        <v>0</v>
      </c>
      <c r="H20" s="671">
        <v>0</v>
      </c>
    </row>
    <row r="21" spans="1:8" ht="15">
      <c r="A21" s="260">
        <v>12</v>
      </c>
      <c r="B21" s="647" t="s">
        <v>731</v>
      </c>
      <c r="C21" s="513">
        <f>'AT3A_cvrg(Insti)_PY'!H27+'AT3C_cvrg(Insti)_UPY '!G26</f>
        <v>1830</v>
      </c>
      <c r="D21" s="671">
        <v>3</v>
      </c>
      <c r="E21" s="514">
        <v>0</v>
      </c>
      <c r="F21" s="514">
        <f t="shared" si="0"/>
        <v>1564</v>
      </c>
      <c r="G21" s="423">
        <v>0</v>
      </c>
      <c r="H21" s="671">
        <v>263</v>
      </c>
    </row>
    <row r="22" spans="1:8" ht="15">
      <c r="A22" s="260">
        <v>13</v>
      </c>
      <c r="B22" s="647" t="s">
        <v>742</v>
      </c>
      <c r="C22" s="513">
        <f>'AT3A_cvrg(Insti)_PY'!H12+'AT3C_cvrg(Insti)_UPY '!G11</f>
        <v>1976</v>
      </c>
      <c r="D22" s="671">
        <v>46</v>
      </c>
      <c r="E22" s="514">
        <v>1</v>
      </c>
      <c r="F22" s="514">
        <f t="shared" si="0"/>
        <v>1913</v>
      </c>
      <c r="G22" s="420">
        <v>0</v>
      </c>
      <c r="H22" s="671">
        <v>16</v>
      </c>
    </row>
    <row r="23" spans="1:8" ht="15">
      <c r="A23" s="260">
        <v>14</v>
      </c>
      <c r="B23" s="647" t="s">
        <v>740</v>
      </c>
      <c r="C23" s="513">
        <f>'AT3A_cvrg(Insti)_PY'!H16+'AT3C_cvrg(Insti)_UPY '!G15</f>
        <v>2904</v>
      </c>
      <c r="D23" s="671">
        <v>13</v>
      </c>
      <c r="E23" s="514">
        <v>0</v>
      </c>
      <c r="F23" s="514">
        <f t="shared" si="0"/>
        <v>2891</v>
      </c>
      <c r="G23" s="420">
        <v>0</v>
      </c>
      <c r="H23" s="671">
        <v>0</v>
      </c>
    </row>
    <row r="24" spans="1:8" ht="15">
      <c r="A24" s="260">
        <v>15</v>
      </c>
      <c r="B24" s="647" t="s">
        <v>734</v>
      </c>
      <c r="C24" s="513">
        <f>'AT3A_cvrg(Insti)_PY'!H22+'AT3C_cvrg(Insti)_UPY '!G21</f>
        <v>983</v>
      </c>
      <c r="D24" s="671">
        <v>6</v>
      </c>
      <c r="E24" s="514">
        <v>0</v>
      </c>
      <c r="F24" s="514">
        <f t="shared" si="0"/>
        <v>977</v>
      </c>
      <c r="G24" s="423">
        <v>0</v>
      </c>
      <c r="H24" s="671">
        <v>0</v>
      </c>
    </row>
    <row r="25" spans="1:8" ht="15">
      <c r="A25" s="260">
        <v>16</v>
      </c>
      <c r="B25" s="647" t="s">
        <v>741</v>
      </c>
      <c r="C25" s="513">
        <f>'AT3A_cvrg(Insti)_PY'!H13+'AT3C_cvrg(Insti)_UPY '!G12</f>
        <v>1965</v>
      </c>
      <c r="D25" s="671">
        <v>3</v>
      </c>
      <c r="E25" s="514">
        <v>0</v>
      </c>
      <c r="F25" s="514">
        <f t="shared" si="0"/>
        <v>1962</v>
      </c>
      <c r="G25" s="420">
        <v>0</v>
      </c>
      <c r="H25" s="671">
        <v>0</v>
      </c>
    </row>
    <row r="26" spans="1:8" ht="15">
      <c r="A26" s="260">
        <v>17</v>
      </c>
      <c r="B26" s="647" t="s">
        <v>733</v>
      </c>
      <c r="C26" s="513">
        <f>'AT3A_cvrg(Insti)_PY'!H29+'AT3C_cvrg(Insti)_UPY '!G28</f>
        <v>2342</v>
      </c>
      <c r="D26" s="671">
        <v>839</v>
      </c>
      <c r="E26" s="514">
        <v>0</v>
      </c>
      <c r="F26" s="514">
        <f t="shared" si="0"/>
        <v>1502</v>
      </c>
      <c r="G26" s="423">
        <v>0</v>
      </c>
      <c r="H26" s="671">
        <v>1</v>
      </c>
    </row>
    <row r="27" spans="1:8" ht="15">
      <c r="A27" s="260">
        <v>18</v>
      </c>
      <c r="B27" s="647" t="s">
        <v>735</v>
      </c>
      <c r="C27" s="513">
        <f>'AT3A_cvrg(Insti)_PY'!H23+'AT3C_cvrg(Insti)_UPY '!G22</f>
        <v>1835</v>
      </c>
      <c r="D27" s="671">
        <v>41</v>
      </c>
      <c r="E27" s="514">
        <v>0</v>
      </c>
      <c r="F27" s="514">
        <f t="shared" si="0"/>
        <v>1792</v>
      </c>
      <c r="G27" s="423">
        <v>0</v>
      </c>
      <c r="H27" s="671">
        <v>2</v>
      </c>
    </row>
    <row r="28" spans="1:8" ht="15">
      <c r="A28" s="260">
        <v>19</v>
      </c>
      <c r="B28" s="647" t="s">
        <v>732</v>
      </c>
      <c r="C28" s="513">
        <f>'AT3A_cvrg(Insti)_PY'!H28+'AT3C_cvrg(Insti)_UPY '!G27</f>
        <v>1383</v>
      </c>
      <c r="D28" s="671">
        <v>147</v>
      </c>
      <c r="E28" s="514">
        <v>0</v>
      </c>
      <c r="F28" s="514">
        <f t="shared" si="0"/>
        <v>1235</v>
      </c>
      <c r="G28" s="423">
        <v>0</v>
      </c>
      <c r="H28" s="671">
        <v>1</v>
      </c>
    </row>
    <row r="29" spans="1:8" ht="15">
      <c r="A29" s="260">
        <v>20</v>
      </c>
      <c r="B29" s="647" t="s">
        <v>836</v>
      </c>
      <c r="C29" s="513">
        <f>'AT3A_cvrg(Insti)_PY'!H24+'AT3C_cvrg(Insti)_UPY '!G23</f>
        <v>1239</v>
      </c>
      <c r="D29" s="671">
        <v>17</v>
      </c>
      <c r="E29" s="514">
        <v>0</v>
      </c>
      <c r="F29" s="514">
        <f t="shared" si="0"/>
        <v>1222</v>
      </c>
      <c r="G29" s="423">
        <v>0</v>
      </c>
      <c r="H29" s="671">
        <v>0</v>
      </c>
    </row>
    <row r="30" spans="1:8" ht="15">
      <c r="A30" s="260">
        <v>21</v>
      </c>
      <c r="B30" s="647" t="s">
        <v>729</v>
      </c>
      <c r="C30" s="513">
        <f>'AT3A_cvrg(Insti)_PY'!H26+'AT3C_cvrg(Insti)_UPY '!G25</f>
        <v>1432</v>
      </c>
      <c r="D30" s="671">
        <v>38</v>
      </c>
      <c r="E30" s="514">
        <v>0</v>
      </c>
      <c r="F30" s="514">
        <f t="shared" si="0"/>
        <v>1394</v>
      </c>
      <c r="G30" s="421">
        <v>0</v>
      </c>
      <c r="H30" s="671">
        <v>0</v>
      </c>
    </row>
    <row r="31" spans="1:8" ht="15">
      <c r="A31" s="260">
        <v>22</v>
      </c>
      <c r="B31" s="647" t="s">
        <v>746</v>
      </c>
      <c r="C31" s="513">
        <f>'AT3A_cvrg(Insti)_PY'!H30+'AT3C_cvrg(Insti)_UPY '!G29</f>
        <v>2020</v>
      </c>
      <c r="D31" s="671">
        <v>12</v>
      </c>
      <c r="E31" s="514">
        <v>0</v>
      </c>
      <c r="F31" s="514">
        <f t="shared" si="0"/>
        <v>2008</v>
      </c>
      <c r="G31" s="423">
        <v>0</v>
      </c>
      <c r="H31" s="671">
        <v>0</v>
      </c>
    </row>
    <row r="32" spans="1:8" ht="15.75" customHeight="1">
      <c r="A32" s="260">
        <v>23</v>
      </c>
      <c r="B32" s="647" t="s">
        <v>738</v>
      </c>
      <c r="C32" s="513">
        <f>'AT3A_cvrg(Insti)_PY'!H20+'AT3C_cvrg(Insti)_UPY '!G19</f>
        <v>2192</v>
      </c>
      <c r="D32" s="671">
        <v>90</v>
      </c>
      <c r="E32" s="514">
        <v>0</v>
      </c>
      <c r="F32" s="514">
        <f t="shared" si="0"/>
        <v>2100</v>
      </c>
      <c r="G32" s="424">
        <v>54</v>
      </c>
      <c r="H32" s="671">
        <v>2</v>
      </c>
    </row>
    <row r="33" spans="1:8" ht="15">
      <c r="A33" s="260">
        <v>24</v>
      </c>
      <c r="B33" s="647" t="s">
        <v>730</v>
      </c>
      <c r="C33" s="513">
        <f>'AT3A_cvrg(Insti)_PY'!H25+'AT3C_cvrg(Insti)_UPY '!G24</f>
        <v>1133</v>
      </c>
      <c r="D33" s="671">
        <v>23</v>
      </c>
      <c r="E33" s="514">
        <v>0</v>
      </c>
      <c r="F33" s="514">
        <f t="shared" si="0"/>
        <v>1110</v>
      </c>
      <c r="G33" s="423">
        <v>0</v>
      </c>
      <c r="H33" s="671">
        <v>0</v>
      </c>
    </row>
    <row r="34" spans="1:8" ht="15">
      <c r="A34" s="260">
        <v>25</v>
      </c>
      <c r="B34" s="647" t="s">
        <v>736</v>
      </c>
      <c r="C34" s="513">
        <f>'AT3A_cvrg(Insti)_PY'!H19+'AT3C_cvrg(Insti)_UPY '!G18</f>
        <v>1280</v>
      </c>
      <c r="D34" s="671">
        <v>824</v>
      </c>
      <c r="E34" s="514">
        <v>0</v>
      </c>
      <c r="F34" s="514">
        <f t="shared" si="0"/>
        <v>456</v>
      </c>
      <c r="G34" s="699">
        <v>0</v>
      </c>
      <c r="H34" s="671">
        <v>0</v>
      </c>
    </row>
    <row r="35" spans="1:8" ht="15">
      <c r="A35" s="260">
        <v>26</v>
      </c>
      <c r="B35" s="647" t="s">
        <v>744</v>
      </c>
      <c r="C35" s="513">
        <f>'AT3A_cvrg(Insti)_PY'!H17+'AT3C_cvrg(Insti)_UPY '!G16</f>
        <v>2657</v>
      </c>
      <c r="D35" s="671">
        <v>0</v>
      </c>
      <c r="E35" s="514">
        <v>0</v>
      </c>
      <c r="F35" s="514">
        <f t="shared" si="0"/>
        <v>2646</v>
      </c>
      <c r="G35" s="421">
        <v>0</v>
      </c>
      <c r="H35" s="671">
        <v>11</v>
      </c>
    </row>
    <row r="36" spans="1:8" ht="15">
      <c r="A36" s="262">
        <v>27</v>
      </c>
      <c r="B36" s="647" t="s">
        <v>745</v>
      </c>
      <c r="C36" s="513">
        <f>'AT3A_cvrg(Insti)_PY'!H31+'AT3C_cvrg(Insti)_UPY '!G30</f>
        <v>2266</v>
      </c>
      <c r="D36" s="671">
        <v>101</v>
      </c>
      <c r="E36" s="514">
        <v>0</v>
      </c>
      <c r="F36" s="514">
        <f t="shared" si="0"/>
        <v>2165</v>
      </c>
      <c r="G36" s="421">
        <v>0</v>
      </c>
      <c r="H36" s="671">
        <v>0</v>
      </c>
    </row>
    <row r="37" spans="1:8" ht="15">
      <c r="A37" s="359"/>
      <c r="B37" s="360" t="s">
        <v>19</v>
      </c>
      <c r="C37" s="513">
        <f>SUM(C10:C36)</f>
        <v>44954</v>
      </c>
      <c r="D37" s="515">
        <v>2805</v>
      </c>
      <c r="E37" s="515">
        <f>SUM(E10:E36)</f>
        <v>1</v>
      </c>
      <c r="F37" s="515">
        <f>SUM(F10:F36)</f>
        <v>41816</v>
      </c>
      <c r="G37" s="429">
        <f>SUM(G10:G36)</f>
        <v>678</v>
      </c>
      <c r="H37" s="515">
        <f>SUM(H10:H36)</f>
        <v>332</v>
      </c>
    </row>
    <row r="38" spans="1:8" ht="15" customHeight="1">
      <c r="A38" s="394"/>
      <c r="B38" s="394"/>
      <c r="C38" s="394"/>
      <c r="D38" s="395"/>
      <c r="E38" s="395"/>
      <c r="F38" s="395"/>
      <c r="G38" s="395"/>
      <c r="H38" s="395"/>
    </row>
    <row r="39" spans="1:8" ht="24.75" customHeight="1">
      <c r="A39" s="394"/>
      <c r="B39" s="394"/>
      <c r="C39" s="394"/>
      <c r="D39" s="395"/>
      <c r="E39" s="395"/>
      <c r="F39" s="395"/>
      <c r="G39" s="395"/>
      <c r="H39" s="395"/>
    </row>
    <row r="40" spans="1:8" ht="15" customHeight="1">
      <c r="A40" s="394"/>
      <c r="B40" s="394"/>
      <c r="C40" s="394"/>
      <c r="D40" s="1035" t="s">
        <v>13</v>
      </c>
      <c r="E40" s="1035"/>
      <c r="F40" s="1035"/>
      <c r="G40" s="1035"/>
      <c r="H40" s="1035"/>
    </row>
    <row r="41" spans="1:8" ht="12.75">
      <c r="A41" s="394" t="s">
        <v>12</v>
      </c>
      <c r="C41" s="394"/>
      <c r="D41" s="1035" t="s">
        <v>14</v>
      </c>
      <c r="E41" s="1035"/>
      <c r="F41" s="1035"/>
      <c r="G41" s="1035"/>
      <c r="H41" s="1035"/>
    </row>
    <row r="42" spans="4:8" ht="12.75">
      <c r="D42" s="1035" t="s">
        <v>662</v>
      </c>
      <c r="E42" s="1035"/>
      <c r="F42" s="1035"/>
      <c r="G42" s="1035"/>
      <c r="H42" s="1035"/>
    </row>
    <row r="43" spans="4:8" ht="12.75">
      <c r="D43" s="1068" t="s">
        <v>84</v>
      </c>
      <c r="E43" s="1068"/>
      <c r="F43" s="1068"/>
      <c r="G43" s="1068"/>
      <c r="H43" s="1068"/>
    </row>
  </sheetData>
  <sheetProtection/>
  <mergeCells count="13">
    <mergeCell ref="K6:L6"/>
    <mergeCell ref="A7:A8"/>
    <mergeCell ref="B7:B8"/>
    <mergeCell ref="C7:C8"/>
    <mergeCell ref="D7:H7"/>
    <mergeCell ref="D40:H40"/>
    <mergeCell ref="D41:H41"/>
    <mergeCell ref="D42:H42"/>
    <mergeCell ref="D43:H43"/>
    <mergeCell ref="A2:H2"/>
    <mergeCell ref="A3:H3"/>
    <mergeCell ref="A5:H5"/>
    <mergeCell ref="F6:H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AD68"/>
  <sheetViews>
    <sheetView view="pageBreakPreview" zoomScale="85" zoomScaleSheetLayoutView="85" zoomScalePageLayoutView="0" workbookViewId="0" topLeftCell="A22">
      <selection activeCell="J34" sqref="J34"/>
    </sheetView>
  </sheetViews>
  <sheetFormatPr defaultColWidth="9.140625" defaultRowHeight="12.75"/>
  <cols>
    <col min="1" max="1" width="9.140625" style="14" customWidth="1"/>
    <col min="2" max="2" width="9.28125" style="14" customWidth="1"/>
    <col min="3" max="4" width="8.57421875" style="14" customWidth="1"/>
    <col min="5" max="5" width="12.00390625" style="14" customWidth="1"/>
    <col min="6" max="6" width="8.57421875" style="14" customWidth="1"/>
    <col min="7" max="7" width="9.57421875" style="14" customWidth="1"/>
    <col min="8" max="8" width="8.57421875" style="14" customWidth="1"/>
    <col min="9" max="9" width="11.7109375" style="14" customWidth="1"/>
    <col min="10" max="16" width="8.57421875" style="14" customWidth="1"/>
    <col min="17" max="17" width="8.421875" style="14" customWidth="1"/>
    <col min="18" max="20" width="8.57421875" style="14" customWidth="1"/>
    <col min="21" max="16384" width="9.140625" style="14" customWidth="1"/>
  </cols>
  <sheetData>
    <row r="1" spans="2:20" ht="12.75">
      <c r="B1" s="14" t="s">
        <v>11</v>
      </c>
      <c r="I1" s="853"/>
      <c r="J1" s="853"/>
      <c r="S1" s="900" t="s">
        <v>56</v>
      </c>
      <c r="T1" s="900"/>
    </row>
    <row r="2" spans="2:20" s="13" customFormat="1" ht="15.75">
      <c r="B2" s="901" t="s">
        <v>0</v>
      </c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1"/>
      <c r="T2" s="901"/>
    </row>
    <row r="3" spans="2:20" s="13" customFormat="1" ht="20.25" customHeight="1">
      <c r="B3" s="902" t="s">
        <v>859</v>
      </c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</row>
    <row r="4" spans="23:25" ht="12.75">
      <c r="W4" s="14">
        <v>8101</v>
      </c>
      <c r="X4" s="14">
        <v>948</v>
      </c>
      <c r="Y4" s="14">
        <v>9049</v>
      </c>
    </row>
    <row r="5" spans="2:25" s="13" customFormat="1" ht="15.75">
      <c r="B5" s="903" t="s">
        <v>782</v>
      </c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P5" s="903"/>
      <c r="Q5" s="903"/>
      <c r="R5" s="903"/>
      <c r="S5" s="903"/>
      <c r="T5" s="903"/>
      <c r="W5" s="13">
        <v>28445</v>
      </c>
      <c r="X5" s="13">
        <v>11631</v>
      </c>
      <c r="Y5" s="13">
        <v>40076</v>
      </c>
    </row>
    <row r="6" spans="2:25" ht="12.75">
      <c r="B6" s="35" t="s">
        <v>634</v>
      </c>
      <c r="C6" s="35"/>
      <c r="W6" s="14">
        <v>32580</v>
      </c>
      <c r="X6" s="14">
        <v>4677</v>
      </c>
      <c r="Y6" s="14">
        <v>37257</v>
      </c>
    </row>
    <row r="7" spans="2:25" ht="12.75">
      <c r="B7" s="898" t="s">
        <v>182</v>
      </c>
      <c r="C7" s="898"/>
      <c r="D7" s="898"/>
      <c r="E7" s="898"/>
      <c r="F7" s="898"/>
      <c r="G7" s="898"/>
      <c r="H7" s="898"/>
      <c r="I7" s="898"/>
      <c r="J7" s="898"/>
      <c r="S7" s="30"/>
      <c r="T7" s="30"/>
      <c r="W7" s="14">
        <v>2396</v>
      </c>
      <c r="X7" s="14">
        <v>265</v>
      </c>
      <c r="Y7" s="14">
        <v>2661</v>
      </c>
    </row>
    <row r="8" spans="23:25" ht="12.75">
      <c r="W8" s="14">
        <v>71522</v>
      </c>
      <c r="X8" s="14">
        <v>17521</v>
      </c>
      <c r="Y8" s="14">
        <v>89043</v>
      </c>
    </row>
    <row r="9" spans="2:13" ht="18" customHeight="1">
      <c r="B9" s="5"/>
      <c r="C9" s="871" t="s">
        <v>43</v>
      </c>
      <c r="D9" s="871"/>
      <c r="E9" s="871" t="s">
        <v>44</v>
      </c>
      <c r="F9" s="871"/>
      <c r="G9" s="871" t="s">
        <v>45</v>
      </c>
      <c r="H9" s="871"/>
      <c r="I9" s="904" t="s">
        <v>46</v>
      </c>
      <c r="J9" s="904"/>
      <c r="K9" s="871" t="s">
        <v>47</v>
      </c>
      <c r="L9" s="871"/>
      <c r="M9" s="26" t="s">
        <v>19</v>
      </c>
    </row>
    <row r="10" spans="2:13" s="70" customFormat="1" ht="13.5" customHeight="1">
      <c r="B10" s="71">
        <v>1</v>
      </c>
      <c r="C10" s="878">
        <v>2</v>
      </c>
      <c r="D10" s="878"/>
      <c r="E10" s="878">
        <v>3</v>
      </c>
      <c r="F10" s="878"/>
      <c r="G10" s="878">
        <v>4</v>
      </c>
      <c r="H10" s="878"/>
      <c r="I10" s="878">
        <v>5</v>
      </c>
      <c r="J10" s="878"/>
      <c r="K10" s="878">
        <v>6</v>
      </c>
      <c r="L10" s="878"/>
      <c r="M10" s="71">
        <v>7</v>
      </c>
    </row>
    <row r="11" spans="2:13" ht="12.75">
      <c r="B11" s="3" t="s">
        <v>48</v>
      </c>
      <c r="C11" s="897">
        <v>948</v>
      </c>
      <c r="D11" s="897"/>
      <c r="E11" s="897">
        <v>11631</v>
      </c>
      <c r="F11" s="897"/>
      <c r="G11" s="897">
        <v>4677</v>
      </c>
      <c r="H11" s="897"/>
      <c r="I11" s="897"/>
      <c r="J11" s="897"/>
      <c r="K11" s="897">
        <v>265</v>
      </c>
      <c r="L11" s="897"/>
      <c r="M11" s="18">
        <f>SUM(C11:L11)</f>
        <v>17521</v>
      </c>
    </row>
    <row r="12" spans="2:13" ht="12.75">
      <c r="B12" s="3" t="s">
        <v>49</v>
      </c>
      <c r="C12" s="897">
        <v>8101</v>
      </c>
      <c r="D12" s="897"/>
      <c r="E12" s="897">
        <v>28445</v>
      </c>
      <c r="F12" s="897"/>
      <c r="G12" s="897">
        <v>32580</v>
      </c>
      <c r="H12" s="897"/>
      <c r="I12" s="897"/>
      <c r="J12" s="897"/>
      <c r="K12" s="897">
        <v>2396</v>
      </c>
      <c r="L12" s="897"/>
      <c r="M12" s="18">
        <f>SUM(C12:L12)</f>
        <v>71522</v>
      </c>
    </row>
    <row r="13" spans="2:14" ht="12.75">
      <c r="B13" s="3" t="s">
        <v>19</v>
      </c>
      <c r="C13" s="876">
        <f>SUM(C11:C12)</f>
        <v>9049</v>
      </c>
      <c r="D13" s="876"/>
      <c r="E13" s="876">
        <f>SUM(E11:E12)</f>
        <v>40076</v>
      </c>
      <c r="F13" s="876"/>
      <c r="G13" s="876">
        <f>SUM(G11:G12)</f>
        <v>37257</v>
      </c>
      <c r="H13" s="876"/>
      <c r="I13" s="876">
        <f>SUM(I11:I12)</f>
        <v>0</v>
      </c>
      <c r="J13" s="876"/>
      <c r="K13" s="876">
        <f>SUM(K11:K12)</f>
        <v>2661</v>
      </c>
      <c r="L13" s="876"/>
      <c r="M13" s="280">
        <f>SUM(M11:M12)</f>
        <v>89043</v>
      </c>
      <c r="N13" s="151"/>
    </row>
    <row r="14" spans="2:13" ht="12.7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2:13" ht="12.75">
      <c r="B15" s="888" t="s">
        <v>429</v>
      </c>
      <c r="C15" s="888"/>
      <c r="D15" s="888"/>
      <c r="E15" s="888"/>
      <c r="F15" s="888"/>
      <c r="G15" s="888"/>
      <c r="H15" s="888"/>
      <c r="I15" s="11"/>
      <c r="J15" s="11"/>
      <c r="K15" s="11"/>
      <c r="L15" s="11"/>
      <c r="M15" s="11"/>
    </row>
    <row r="16" spans="2:13" ht="12.75" customHeight="1">
      <c r="B16" s="890" t="s">
        <v>430</v>
      </c>
      <c r="C16" s="891"/>
      <c r="D16" s="889" t="s">
        <v>221</v>
      </c>
      <c r="E16" s="889"/>
      <c r="F16" s="3" t="s">
        <v>19</v>
      </c>
      <c r="J16" s="11"/>
      <c r="K16" s="11"/>
      <c r="L16" s="11"/>
      <c r="M16" s="11"/>
    </row>
    <row r="17" spans="2:13" ht="12.75">
      <c r="B17" s="867">
        <v>600</v>
      </c>
      <c r="C17" s="869"/>
      <c r="D17" s="867">
        <v>600</v>
      </c>
      <c r="E17" s="869"/>
      <c r="F17" s="3">
        <v>1200</v>
      </c>
      <c r="J17" s="11"/>
      <c r="K17" s="11"/>
      <c r="L17" s="11"/>
      <c r="M17" s="11"/>
    </row>
    <row r="18" spans="2:13" ht="12.75">
      <c r="B18" s="867"/>
      <c r="C18" s="869"/>
      <c r="D18" s="867"/>
      <c r="E18" s="869"/>
      <c r="F18" s="3"/>
      <c r="J18" s="11"/>
      <c r="K18" s="11"/>
      <c r="L18" s="11">
        <f>SUM(H18:K18)</f>
        <v>0</v>
      </c>
      <c r="M18" s="11"/>
    </row>
    <row r="19" spans="2:13" ht="12.75">
      <c r="B19" s="221"/>
      <c r="C19" s="221"/>
      <c r="D19" s="221"/>
      <c r="E19" s="221"/>
      <c r="F19" s="221"/>
      <c r="G19" s="221"/>
      <c r="H19" s="221"/>
      <c r="I19" s="11"/>
      <c r="J19" s="11"/>
      <c r="K19" s="11"/>
      <c r="L19" s="11"/>
      <c r="M19" s="11"/>
    </row>
    <row r="21" spans="2:20" ht="18.75" customHeight="1">
      <c r="B21" s="880" t="s">
        <v>183</v>
      </c>
      <c r="C21" s="880"/>
      <c r="D21" s="880"/>
      <c r="E21" s="880"/>
      <c r="F21" s="880"/>
      <c r="G21" s="880"/>
      <c r="H21" s="880"/>
      <c r="I21" s="880"/>
      <c r="J21" s="880"/>
      <c r="K21" s="880"/>
      <c r="L21" s="880"/>
      <c r="M21" s="880"/>
      <c r="N21" s="880"/>
      <c r="O21" s="880"/>
      <c r="P21" s="880"/>
      <c r="Q21" s="880"/>
      <c r="R21" s="880"/>
      <c r="S21" s="880"/>
      <c r="T21" s="880"/>
    </row>
    <row r="22" spans="2:21" ht="12.75">
      <c r="B22" s="871" t="s">
        <v>24</v>
      </c>
      <c r="C22" s="871" t="s">
        <v>50</v>
      </c>
      <c r="D22" s="871"/>
      <c r="E22" s="871"/>
      <c r="F22" s="877" t="s">
        <v>25</v>
      </c>
      <c r="G22" s="877"/>
      <c r="H22" s="877"/>
      <c r="I22" s="877"/>
      <c r="J22" s="877"/>
      <c r="K22" s="877"/>
      <c r="L22" s="877"/>
      <c r="M22" s="877"/>
      <c r="N22" s="876" t="s">
        <v>26</v>
      </c>
      <c r="O22" s="876"/>
      <c r="P22" s="876"/>
      <c r="Q22" s="876"/>
      <c r="R22" s="876"/>
      <c r="S22" s="876"/>
      <c r="T22" s="876"/>
      <c r="U22" s="876"/>
    </row>
    <row r="23" spans="2:21" ht="33.75" customHeight="1">
      <c r="B23" s="871"/>
      <c r="C23" s="871"/>
      <c r="D23" s="871"/>
      <c r="E23" s="871"/>
      <c r="F23" s="894" t="s">
        <v>139</v>
      </c>
      <c r="G23" s="896"/>
      <c r="H23" s="894" t="s">
        <v>184</v>
      </c>
      <c r="I23" s="896"/>
      <c r="J23" s="871" t="s">
        <v>51</v>
      </c>
      <c r="K23" s="871"/>
      <c r="L23" s="894" t="s">
        <v>95</v>
      </c>
      <c r="M23" s="896"/>
      <c r="N23" s="894" t="s">
        <v>96</v>
      </c>
      <c r="O23" s="896"/>
      <c r="P23" s="894" t="s">
        <v>184</v>
      </c>
      <c r="Q23" s="896"/>
      <c r="R23" s="871" t="s">
        <v>51</v>
      </c>
      <c r="S23" s="871"/>
      <c r="T23" s="871" t="s">
        <v>95</v>
      </c>
      <c r="U23" s="871"/>
    </row>
    <row r="24" spans="2:30" s="70" customFormat="1" ht="15.75" customHeight="1">
      <c r="B24" s="71">
        <v>1</v>
      </c>
      <c r="C24" s="882">
        <v>2</v>
      </c>
      <c r="D24" s="883"/>
      <c r="E24" s="884"/>
      <c r="F24" s="882">
        <v>3</v>
      </c>
      <c r="G24" s="884"/>
      <c r="H24" s="882">
        <v>4</v>
      </c>
      <c r="I24" s="884"/>
      <c r="J24" s="878">
        <v>5</v>
      </c>
      <c r="K24" s="878"/>
      <c r="L24" s="878">
        <v>6</v>
      </c>
      <c r="M24" s="878"/>
      <c r="N24" s="882">
        <v>3</v>
      </c>
      <c r="O24" s="884"/>
      <c r="P24" s="882">
        <v>4</v>
      </c>
      <c r="Q24" s="884"/>
      <c r="R24" s="878">
        <v>5</v>
      </c>
      <c r="S24" s="878"/>
      <c r="T24" s="878">
        <v>6</v>
      </c>
      <c r="U24" s="878"/>
      <c r="AD24" s="14"/>
    </row>
    <row r="25" spans="2:21" ht="27.75" customHeight="1">
      <c r="B25" s="69">
        <v>1</v>
      </c>
      <c r="C25" s="885" t="s">
        <v>488</v>
      </c>
      <c r="D25" s="886"/>
      <c r="E25" s="887"/>
      <c r="F25" s="857">
        <v>100</v>
      </c>
      <c r="G25" s="858"/>
      <c r="H25" s="857" t="s">
        <v>1036</v>
      </c>
      <c r="I25" s="858"/>
      <c r="J25" s="857">
        <v>310</v>
      </c>
      <c r="K25" s="858"/>
      <c r="L25" s="879">
        <v>8</v>
      </c>
      <c r="M25" s="879"/>
      <c r="N25" s="857">
        <v>150</v>
      </c>
      <c r="O25" s="858"/>
      <c r="P25" s="857" t="s">
        <v>1036</v>
      </c>
      <c r="Q25" s="858"/>
      <c r="R25" s="879">
        <v>510</v>
      </c>
      <c r="S25" s="879"/>
      <c r="T25" s="879">
        <v>13</v>
      </c>
      <c r="U25" s="879"/>
    </row>
    <row r="26" spans="2:21" ht="12.75">
      <c r="B26" s="69">
        <v>2</v>
      </c>
      <c r="C26" s="859" t="s">
        <v>52</v>
      </c>
      <c r="D26" s="860"/>
      <c r="E26" s="861"/>
      <c r="F26" s="857">
        <v>20</v>
      </c>
      <c r="G26" s="858"/>
      <c r="H26" s="863">
        <v>2</v>
      </c>
      <c r="I26" s="864"/>
      <c r="J26" s="857">
        <v>70</v>
      </c>
      <c r="K26" s="858"/>
      <c r="L26" s="879">
        <v>5</v>
      </c>
      <c r="M26" s="879"/>
      <c r="N26" s="857">
        <v>30</v>
      </c>
      <c r="O26" s="858"/>
      <c r="P26" s="863">
        <v>3</v>
      </c>
      <c r="Q26" s="864"/>
      <c r="R26" s="879">
        <v>85</v>
      </c>
      <c r="S26" s="879"/>
      <c r="T26" s="879">
        <v>7</v>
      </c>
      <c r="U26" s="879"/>
    </row>
    <row r="27" spans="2:21" ht="12.75">
      <c r="B27" s="69">
        <v>3</v>
      </c>
      <c r="C27" s="859" t="s">
        <v>185</v>
      </c>
      <c r="D27" s="860"/>
      <c r="E27" s="861"/>
      <c r="F27" s="857">
        <v>50</v>
      </c>
      <c r="G27" s="858"/>
      <c r="H27" s="863">
        <v>1.25</v>
      </c>
      <c r="I27" s="864"/>
      <c r="J27" s="857">
        <v>25</v>
      </c>
      <c r="K27" s="858"/>
      <c r="L27" s="879">
        <v>0</v>
      </c>
      <c r="M27" s="879"/>
      <c r="N27" s="857">
        <v>75</v>
      </c>
      <c r="O27" s="858"/>
      <c r="P27" s="863">
        <v>1.87</v>
      </c>
      <c r="Q27" s="864"/>
      <c r="R27" s="879">
        <v>55</v>
      </c>
      <c r="S27" s="879"/>
      <c r="T27" s="879">
        <v>0</v>
      </c>
      <c r="U27" s="879"/>
    </row>
    <row r="28" spans="2:21" ht="12.75">
      <c r="B28" s="69">
        <v>4</v>
      </c>
      <c r="C28" s="859" t="s">
        <v>53</v>
      </c>
      <c r="D28" s="860"/>
      <c r="E28" s="861"/>
      <c r="F28" s="857">
        <v>5</v>
      </c>
      <c r="G28" s="858"/>
      <c r="H28" s="863">
        <v>0.48</v>
      </c>
      <c r="I28" s="864"/>
      <c r="J28" s="857">
        <v>45</v>
      </c>
      <c r="K28" s="858"/>
      <c r="L28" s="879">
        <v>0</v>
      </c>
      <c r="M28" s="879"/>
      <c r="N28" s="857">
        <v>7.5</v>
      </c>
      <c r="O28" s="858"/>
      <c r="P28" s="863">
        <v>0.7</v>
      </c>
      <c r="Q28" s="864"/>
      <c r="R28" s="879">
        <v>100</v>
      </c>
      <c r="S28" s="879"/>
      <c r="T28" s="879">
        <v>0</v>
      </c>
      <c r="U28" s="879"/>
    </row>
    <row r="29" spans="2:21" ht="12.75">
      <c r="B29" s="69">
        <v>5</v>
      </c>
      <c r="C29" s="859" t="s">
        <v>54</v>
      </c>
      <c r="D29" s="860"/>
      <c r="E29" s="861"/>
      <c r="F29" s="857" t="s">
        <v>607</v>
      </c>
      <c r="G29" s="858"/>
      <c r="H29" s="863">
        <v>0.3</v>
      </c>
      <c r="I29" s="864"/>
      <c r="J29" s="857">
        <v>0</v>
      </c>
      <c r="K29" s="858"/>
      <c r="L29" s="879">
        <v>0</v>
      </c>
      <c r="M29" s="879"/>
      <c r="N29" s="857" t="s">
        <v>607</v>
      </c>
      <c r="O29" s="858"/>
      <c r="P29" s="863">
        <v>0.45</v>
      </c>
      <c r="Q29" s="864"/>
      <c r="R29" s="879">
        <v>0</v>
      </c>
      <c r="S29" s="879"/>
      <c r="T29" s="879">
        <v>0</v>
      </c>
      <c r="U29" s="879"/>
    </row>
    <row r="30" spans="2:21" ht="12.75">
      <c r="B30" s="69">
        <v>6</v>
      </c>
      <c r="C30" s="859" t="s">
        <v>55</v>
      </c>
      <c r="D30" s="860"/>
      <c r="E30" s="861"/>
      <c r="F30" s="857" t="s">
        <v>607</v>
      </c>
      <c r="G30" s="858"/>
      <c r="H30" s="863">
        <v>0.45</v>
      </c>
      <c r="I30" s="864"/>
      <c r="J30" s="857">
        <v>0</v>
      </c>
      <c r="K30" s="858"/>
      <c r="L30" s="879">
        <v>0</v>
      </c>
      <c r="M30" s="879"/>
      <c r="N30" s="857" t="s">
        <v>607</v>
      </c>
      <c r="O30" s="858"/>
      <c r="P30" s="863">
        <v>0.49</v>
      </c>
      <c r="Q30" s="864"/>
      <c r="R30" s="879">
        <v>0</v>
      </c>
      <c r="S30" s="879"/>
      <c r="T30" s="879">
        <v>0</v>
      </c>
      <c r="U30" s="879"/>
    </row>
    <row r="31" spans="2:21" ht="12.75">
      <c r="B31" s="69">
        <v>7</v>
      </c>
      <c r="C31" s="866" t="s">
        <v>186</v>
      </c>
      <c r="D31" s="866"/>
      <c r="E31" s="866"/>
      <c r="F31" s="857" t="s">
        <v>607</v>
      </c>
      <c r="G31" s="858"/>
      <c r="H31" s="863">
        <v>0.33</v>
      </c>
      <c r="I31" s="864"/>
      <c r="J31" s="879">
        <v>0</v>
      </c>
      <c r="K31" s="879"/>
      <c r="L31" s="879">
        <v>0</v>
      </c>
      <c r="M31" s="879"/>
      <c r="N31" s="857" t="s">
        <v>607</v>
      </c>
      <c r="O31" s="858"/>
      <c r="P31" s="863">
        <v>0</v>
      </c>
      <c r="Q31" s="864"/>
      <c r="R31" s="879">
        <v>0</v>
      </c>
      <c r="S31" s="879"/>
      <c r="T31" s="879">
        <v>0</v>
      </c>
      <c r="U31" s="879"/>
    </row>
    <row r="32" spans="2:21" ht="12.75">
      <c r="B32" s="69"/>
      <c r="C32" s="871" t="s">
        <v>19</v>
      </c>
      <c r="D32" s="871"/>
      <c r="E32" s="871"/>
      <c r="F32" s="872"/>
      <c r="G32" s="873"/>
      <c r="H32" s="874">
        <f>SUM(H26:H31)</f>
        <v>4.8100000000000005</v>
      </c>
      <c r="I32" s="875"/>
      <c r="J32" s="862">
        <v>450</v>
      </c>
      <c r="K32" s="862"/>
      <c r="L32" s="862">
        <v>13</v>
      </c>
      <c r="M32" s="862"/>
      <c r="N32" s="872"/>
      <c r="O32" s="873"/>
      <c r="P32" s="874">
        <f>SUM(P26:P31)</f>
        <v>6.510000000000001</v>
      </c>
      <c r="Q32" s="875"/>
      <c r="R32" s="862">
        <v>750</v>
      </c>
      <c r="S32" s="862"/>
      <c r="T32" s="862">
        <v>20</v>
      </c>
      <c r="U32" s="862"/>
    </row>
    <row r="33" spans="2:21" ht="15.75" customHeight="1">
      <c r="B33" s="115"/>
      <c r="C33" s="116"/>
      <c r="D33" s="116"/>
      <c r="E33" s="870" t="s">
        <v>776</v>
      </c>
      <c r="F33" s="870"/>
      <c r="G33" s="870"/>
      <c r="H33" s="870"/>
      <c r="I33" s="870"/>
      <c r="J33" s="870"/>
      <c r="K33" s="870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2:21" ht="12.75" customHeight="1">
      <c r="B34" s="224" t="s">
        <v>409</v>
      </c>
      <c r="C34" s="865" t="s">
        <v>465</v>
      </c>
      <c r="D34" s="865"/>
      <c r="E34" s="865"/>
      <c r="F34" s="865"/>
      <c r="G34" s="865"/>
      <c r="H34" s="865"/>
      <c r="I34" s="865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2:21" ht="12.75">
      <c r="B35" s="224"/>
      <c r="C35" s="116"/>
      <c r="D35" s="116"/>
      <c r="E35" s="116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2:30" s="30" customFormat="1" ht="17.25" customHeight="1">
      <c r="B36" s="2" t="s">
        <v>24</v>
      </c>
      <c r="C36" s="907" t="s">
        <v>410</v>
      </c>
      <c r="D36" s="908"/>
      <c r="E36" s="909"/>
      <c r="F36" s="894" t="s">
        <v>25</v>
      </c>
      <c r="G36" s="895"/>
      <c r="H36" s="895"/>
      <c r="I36" s="895"/>
      <c r="J36" s="895"/>
      <c r="K36" s="896"/>
      <c r="L36" s="876" t="s">
        <v>26</v>
      </c>
      <c r="M36" s="876"/>
      <c r="N36" s="876"/>
      <c r="O36" s="876"/>
      <c r="P36" s="876"/>
      <c r="Q36" s="876"/>
      <c r="R36" s="913"/>
      <c r="S36" s="913"/>
      <c r="T36" s="913"/>
      <c r="U36" s="913"/>
      <c r="AD36" s="14"/>
    </row>
    <row r="37" spans="2:21" ht="12.75">
      <c r="B37" s="4"/>
      <c r="C37" s="910"/>
      <c r="D37" s="911"/>
      <c r="E37" s="912"/>
      <c r="F37" s="867" t="s">
        <v>426</v>
      </c>
      <c r="G37" s="869"/>
      <c r="H37" s="867" t="s">
        <v>427</v>
      </c>
      <c r="I37" s="869"/>
      <c r="J37" s="867" t="s">
        <v>428</v>
      </c>
      <c r="K37" s="869"/>
      <c r="L37" s="876" t="s">
        <v>426</v>
      </c>
      <c r="M37" s="876"/>
      <c r="N37" s="876" t="s">
        <v>427</v>
      </c>
      <c r="O37" s="876"/>
      <c r="P37" s="876" t="s">
        <v>428</v>
      </c>
      <c r="Q37" s="876"/>
      <c r="R37" s="11"/>
      <c r="S37" s="11"/>
      <c r="T37" s="11"/>
      <c r="U37" s="11"/>
    </row>
    <row r="38" spans="2:21" ht="12.75">
      <c r="B38" s="69">
        <v>1</v>
      </c>
      <c r="C38" s="867"/>
      <c r="D38" s="868"/>
      <c r="E38" s="869"/>
      <c r="F38" s="867"/>
      <c r="G38" s="869"/>
      <c r="H38" s="867"/>
      <c r="I38" s="869"/>
      <c r="J38" s="867"/>
      <c r="K38" s="869"/>
      <c r="L38" s="876"/>
      <c r="M38" s="876"/>
      <c r="N38" s="876"/>
      <c r="O38" s="876"/>
      <c r="P38" s="876"/>
      <c r="Q38" s="876"/>
      <c r="R38" s="11"/>
      <c r="S38" s="11"/>
      <c r="T38" s="11"/>
      <c r="U38" s="11"/>
    </row>
    <row r="39" spans="2:21" ht="12.75">
      <c r="B39" s="69">
        <v>2</v>
      </c>
      <c r="C39" s="867"/>
      <c r="D39" s="868"/>
      <c r="E39" s="869"/>
      <c r="F39" s="867"/>
      <c r="G39" s="869"/>
      <c r="H39" s="867"/>
      <c r="I39" s="869"/>
      <c r="J39" s="867"/>
      <c r="K39" s="869"/>
      <c r="L39" s="876"/>
      <c r="M39" s="876"/>
      <c r="N39" s="876"/>
      <c r="O39" s="876"/>
      <c r="P39" s="876"/>
      <c r="Q39" s="876"/>
      <c r="R39" s="11"/>
      <c r="S39" s="11"/>
      <c r="T39" s="11"/>
      <c r="U39" s="11"/>
    </row>
    <row r="40" spans="2:21" ht="12.75">
      <c r="B40" s="69">
        <v>3</v>
      </c>
      <c r="C40" s="867"/>
      <c r="D40" s="868"/>
      <c r="E40" s="869"/>
      <c r="F40" s="867"/>
      <c r="G40" s="869"/>
      <c r="H40" s="867"/>
      <c r="I40" s="869"/>
      <c r="J40" s="867"/>
      <c r="K40" s="869"/>
      <c r="L40" s="876"/>
      <c r="M40" s="876"/>
      <c r="N40" s="876"/>
      <c r="O40" s="876"/>
      <c r="P40" s="876"/>
      <c r="Q40" s="876"/>
      <c r="R40" s="11"/>
      <c r="S40" s="11"/>
      <c r="T40" s="11"/>
      <c r="U40" s="11"/>
    </row>
    <row r="41" spans="2:21" ht="12.75">
      <c r="B41" s="69">
        <v>4</v>
      </c>
      <c r="C41" s="894"/>
      <c r="D41" s="895"/>
      <c r="E41" s="896"/>
      <c r="F41" s="867"/>
      <c r="G41" s="869"/>
      <c r="H41" s="867"/>
      <c r="I41" s="869"/>
      <c r="J41" s="867"/>
      <c r="K41" s="869"/>
      <c r="L41" s="876"/>
      <c r="M41" s="876"/>
      <c r="N41" s="876"/>
      <c r="O41" s="876"/>
      <c r="P41" s="876"/>
      <c r="Q41" s="876"/>
      <c r="R41" s="11"/>
      <c r="S41" s="11"/>
      <c r="T41" s="11"/>
      <c r="U41" s="11"/>
    </row>
    <row r="44" spans="2:10" ht="13.5" customHeight="1">
      <c r="B44" s="905" t="s">
        <v>199</v>
      </c>
      <c r="C44" s="905"/>
      <c r="D44" s="905"/>
      <c r="E44" s="905"/>
      <c r="F44" s="905"/>
      <c r="G44" s="905"/>
      <c r="H44" s="905"/>
      <c r="I44" s="905"/>
      <c r="J44" s="905"/>
    </row>
    <row r="45" spans="2:25" ht="13.5" customHeight="1">
      <c r="B45" s="899" t="s">
        <v>58</v>
      </c>
      <c r="C45" s="899" t="s">
        <v>25</v>
      </c>
      <c r="D45" s="899"/>
      <c r="E45" s="899"/>
      <c r="F45" s="906" t="s">
        <v>26</v>
      </c>
      <c r="G45" s="906"/>
      <c r="H45" s="906"/>
      <c r="I45" s="892" t="s">
        <v>159</v>
      </c>
      <c r="J45"/>
      <c r="W45" s="281">
        <v>3.71</v>
      </c>
      <c r="X45" s="281">
        <v>2.77</v>
      </c>
      <c r="Y45" s="282">
        <f>SUM(W45:X45)</f>
        <v>6.48</v>
      </c>
    </row>
    <row r="46" spans="2:23" ht="15">
      <c r="B46" s="899"/>
      <c r="C46" s="49" t="s">
        <v>187</v>
      </c>
      <c r="D46" s="72" t="s">
        <v>102</v>
      </c>
      <c r="E46" s="49" t="s">
        <v>19</v>
      </c>
      <c r="F46" s="49" t="s">
        <v>187</v>
      </c>
      <c r="G46" s="72" t="s">
        <v>102</v>
      </c>
      <c r="H46" s="49" t="s">
        <v>19</v>
      </c>
      <c r="I46" s="893"/>
      <c r="J46"/>
      <c r="W46" s="14">
        <f>W45*107.5%</f>
        <v>3.98825</v>
      </c>
    </row>
    <row r="47" spans="2:10" ht="14.25">
      <c r="B47" s="29" t="s">
        <v>783</v>
      </c>
      <c r="C47" s="281">
        <v>2.61</v>
      </c>
      <c r="D47" s="282">
        <v>2.21</v>
      </c>
      <c r="E47" s="281">
        <f>SUM(C47:D47)</f>
        <v>4.82</v>
      </c>
      <c r="F47" s="281">
        <v>3.91</v>
      </c>
      <c r="G47" s="281">
        <v>2.6</v>
      </c>
      <c r="H47" s="282">
        <f>SUM(F47:G47)</f>
        <v>6.51</v>
      </c>
      <c r="I47" s="52"/>
      <c r="J47"/>
    </row>
    <row r="48" spans="2:10" ht="14.25">
      <c r="B48" s="29" t="s">
        <v>1064</v>
      </c>
      <c r="C48" s="282">
        <v>2.67</v>
      </c>
      <c r="D48" s="282">
        <v>2.46</v>
      </c>
      <c r="E48" s="281">
        <f>SUM(C48:D48)</f>
        <v>5.13</v>
      </c>
      <c r="F48" s="281">
        <v>3.99</v>
      </c>
      <c r="G48" s="282">
        <v>2.96</v>
      </c>
      <c r="H48" s="282">
        <f>SUM(F48:G48)</f>
        <v>6.95</v>
      </c>
      <c r="I48" s="52" t="s">
        <v>188</v>
      </c>
      <c r="J48"/>
    </row>
    <row r="49" spans="2:10" ht="15">
      <c r="B49" s="114" t="s">
        <v>253</v>
      </c>
      <c r="C49" s="222"/>
      <c r="D49" s="222"/>
      <c r="E49" s="12"/>
      <c r="F49" s="12"/>
      <c r="G49" s="223"/>
      <c r="H49" s="223"/>
      <c r="I49" s="223"/>
      <c r="J49"/>
    </row>
    <row r="50" spans="2:10" ht="15">
      <c r="B50" s="114"/>
      <c r="C50" s="222"/>
      <c r="D50" s="222"/>
      <c r="E50" s="12"/>
      <c r="F50" s="12"/>
      <c r="G50" s="223"/>
      <c r="H50" s="223"/>
      <c r="I50" s="223"/>
      <c r="J50"/>
    </row>
    <row r="51" ht="18.75" customHeight="1"/>
    <row r="52" ht="18.75" customHeight="1"/>
    <row r="53" spans="2:18" s="15" customFormat="1" ht="18.75" customHeight="1">
      <c r="B53" s="14" t="s">
        <v>12</v>
      </c>
      <c r="C53" s="14"/>
      <c r="D53" s="14"/>
      <c r="E53" s="14"/>
      <c r="F53" s="14"/>
      <c r="G53" s="14"/>
      <c r="H53" s="14"/>
      <c r="J53" s="14"/>
      <c r="P53" s="881" t="s">
        <v>13</v>
      </c>
      <c r="Q53" s="881"/>
      <c r="R53" s="881"/>
    </row>
    <row r="54" spans="2:19" s="15" customFormat="1" ht="18.75" customHeight="1"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81" t="s">
        <v>14</v>
      </c>
      <c r="P54" s="881"/>
      <c r="Q54" s="881"/>
      <c r="R54" s="881"/>
      <c r="S54" s="881"/>
    </row>
    <row r="55" spans="2:20" s="15" customFormat="1" ht="18.75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81"/>
      <c r="O55" s="881"/>
      <c r="P55" s="881"/>
      <c r="Q55" s="881"/>
      <c r="R55" s="881"/>
      <c r="S55" s="881"/>
      <c r="T55" s="881"/>
    </row>
    <row r="56" spans="15:18" ht="18.75" customHeight="1">
      <c r="O56" s="898" t="s">
        <v>84</v>
      </c>
      <c r="P56" s="898"/>
      <c r="Q56" s="898"/>
      <c r="R56" s="898"/>
    </row>
    <row r="66" spans="10:11" ht="12.75">
      <c r="J66" s="308"/>
      <c r="K66" s="308"/>
    </row>
    <row r="68" spans="10:11" ht="12.75">
      <c r="J68" s="308"/>
      <c r="K68" s="308"/>
    </row>
  </sheetData>
  <sheetProtection/>
  <mergeCells count="182">
    <mergeCell ref="T36:U36"/>
    <mergeCell ref="N32:O32"/>
    <mergeCell ref="P32:Q32"/>
    <mergeCell ref="R32:S32"/>
    <mergeCell ref="R36:S36"/>
    <mergeCell ref="L36:Q36"/>
    <mergeCell ref="J41:K41"/>
    <mergeCell ref="H41:I41"/>
    <mergeCell ref="N40:O40"/>
    <mergeCell ref="C45:E45"/>
    <mergeCell ref="F45:H45"/>
    <mergeCell ref="C36:E37"/>
    <mergeCell ref="J39:K39"/>
    <mergeCell ref="C38:E38"/>
    <mergeCell ref="N41:O41"/>
    <mergeCell ref="P41:Q41"/>
    <mergeCell ref="N37:O37"/>
    <mergeCell ref="L41:M41"/>
    <mergeCell ref="L40:M40"/>
    <mergeCell ref="L37:M37"/>
    <mergeCell ref="N55:T55"/>
    <mergeCell ref="C39:E39"/>
    <mergeCell ref="P37:Q37"/>
    <mergeCell ref="L38:M38"/>
    <mergeCell ref="L39:M39"/>
    <mergeCell ref="N39:O39"/>
    <mergeCell ref="P39:Q39"/>
    <mergeCell ref="N38:O38"/>
    <mergeCell ref="P38:Q38"/>
    <mergeCell ref="P40:Q40"/>
    <mergeCell ref="T26:U26"/>
    <mergeCell ref="R25:S25"/>
    <mergeCell ref="T25:U25"/>
    <mergeCell ref="P25:Q25"/>
    <mergeCell ref="R28:S28"/>
    <mergeCell ref="T32:U32"/>
    <mergeCell ref="R31:S31"/>
    <mergeCell ref="T31:U31"/>
    <mergeCell ref="P31:Q31"/>
    <mergeCell ref="S1:T1"/>
    <mergeCell ref="B2:T2"/>
    <mergeCell ref="B3:T3"/>
    <mergeCell ref="B5:T5"/>
    <mergeCell ref="C9:D9"/>
    <mergeCell ref="B7:J7"/>
    <mergeCell ref="E9:F9"/>
    <mergeCell ref="G9:H9"/>
    <mergeCell ref="I9:J9"/>
    <mergeCell ref="I1:J1"/>
    <mergeCell ref="F31:G31"/>
    <mergeCell ref="L30:M30"/>
    <mergeCell ref="R30:S30"/>
    <mergeCell ref="T28:U28"/>
    <mergeCell ref="P28:Q28"/>
    <mergeCell ref="F27:G27"/>
    <mergeCell ref="H27:I27"/>
    <mergeCell ref="N31:O31"/>
    <mergeCell ref="P30:Q30"/>
    <mergeCell ref="R27:S27"/>
    <mergeCell ref="T27:U27"/>
    <mergeCell ref="H31:I31"/>
    <mergeCell ref="L31:M31"/>
    <mergeCell ref="J31:K31"/>
    <mergeCell ref="P27:Q27"/>
    <mergeCell ref="J28:K28"/>
    <mergeCell ref="L29:M29"/>
    <mergeCell ref="J29:K29"/>
    <mergeCell ref="H26:I26"/>
    <mergeCell ref="H25:I25"/>
    <mergeCell ref="N27:O27"/>
    <mergeCell ref="B45:B46"/>
    <mergeCell ref="T30:U30"/>
    <mergeCell ref="R29:S29"/>
    <mergeCell ref="T29:U29"/>
    <mergeCell ref="N29:O29"/>
    <mergeCell ref="P29:Q29"/>
    <mergeCell ref="N30:O30"/>
    <mergeCell ref="O56:R56"/>
    <mergeCell ref="K9:L9"/>
    <mergeCell ref="K13:L13"/>
    <mergeCell ref="K11:L11"/>
    <mergeCell ref="J27:K27"/>
    <mergeCell ref="L27:M27"/>
    <mergeCell ref="P53:R53"/>
    <mergeCell ref="P23:Q23"/>
    <mergeCell ref="R23:S23"/>
    <mergeCell ref="N23:O23"/>
    <mergeCell ref="I11:J11"/>
    <mergeCell ref="C12:D12"/>
    <mergeCell ref="E12:F12"/>
    <mergeCell ref="G12:H12"/>
    <mergeCell ref="I13:J13"/>
    <mergeCell ref="F23:G23"/>
    <mergeCell ref="H23:I23"/>
    <mergeCell ref="I12:J12"/>
    <mergeCell ref="K10:L10"/>
    <mergeCell ref="C11:D11"/>
    <mergeCell ref="E11:F11"/>
    <mergeCell ref="K12:L12"/>
    <mergeCell ref="E10:F10"/>
    <mergeCell ref="G10:H10"/>
    <mergeCell ref="I10:J10"/>
    <mergeCell ref="C10:D10"/>
    <mergeCell ref="G11:H11"/>
    <mergeCell ref="I45:I46"/>
    <mergeCell ref="F39:G39"/>
    <mergeCell ref="F40:G40"/>
    <mergeCell ref="F41:G41"/>
    <mergeCell ref="F36:K36"/>
    <mergeCell ref="H39:I39"/>
    <mergeCell ref="F37:G37"/>
    <mergeCell ref="F38:G38"/>
    <mergeCell ref="B44:J44"/>
    <mergeCell ref="C41:E41"/>
    <mergeCell ref="H38:I38"/>
    <mergeCell ref="B15:H15"/>
    <mergeCell ref="D16:E16"/>
    <mergeCell ref="B16:C16"/>
    <mergeCell ref="B17:C17"/>
    <mergeCell ref="D17:E17"/>
    <mergeCell ref="C28:E28"/>
    <mergeCell ref="F28:G28"/>
    <mergeCell ref="H24:I24"/>
    <mergeCell ref="F25:G25"/>
    <mergeCell ref="C13:D13"/>
    <mergeCell ref="E13:F13"/>
    <mergeCell ref="G13:H13"/>
    <mergeCell ref="B21:T21"/>
    <mergeCell ref="O54:S54"/>
    <mergeCell ref="C24:E24"/>
    <mergeCell ref="C25:E25"/>
    <mergeCell ref="F24:G24"/>
    <mergeCell ref="L24:M24"/>
    <mergeCell ref="H37:I37"/>
    <mergeCell ref="N25:O25"/>
    <mergeCell ref="N26:O26"/>
    <mergeCell ref="R26:S26"/>
    <mergeCell ref="P26:Q26"/>
    <mergeCell ref="L26:M26"/>
    <mergeCell ref="L28:M28"/>
    <mergeCell ref="L25:M25"/>
    <mergeCell ref="N28:O28"/>
    <mergeCell ref="L32:M32"/>
    <mergeCell ref="B18:C18"/>
    <mergeCell ref="D18:E18"/>
    <mergeCell ref="H28:I28"/>
    <mergeCell ref="J30:K30"/>
    <mergeCell ref="F30:G30"/>
    <mergeCell ref="H30:I30"/>
    <mergeCell ref="J23:K23"/>
    <mergeCell ref="J25:K25"/>
    <mergeCell ref="L23:M23"/>
    <mergeCell ref="N22:U22"/>
    <mergeCell ref="B22:B23"/>
    <mergeCell ref="C22:E23"/>
    <mergeCell ref="F22:M22"/>
    <mergeCell ref="T23:U23"/>
    <mergeCell ref="T24:U24"/>
    <mergeCell ref="N24:O24"/>
    <mergeCell ref="P24:Q24"/>
    <mergeCell ref="J24:K24"/>
    <mergeCell ref="R24:S24"/>
    <mergeCell ref="C34:I34"/>
    <mergeCell ref="C31:E31"/>
    <mergeCell ref="C40:E40"/>
    <mergeCell ref="J37:K37"/>
    <mergeCell ref="J38:K38"/>
    <mergeCell ref="J40:K40"/>
    <mergeCell ref="E33:K33"/>
    <mergeCell ref="H40:I40"/>
    <mergeCell ref="C32:E32"/>
    <mergeCell ref="F32:G32"/>
    <mergeCell ref="J26:K26"/>
    <mergeCell ref="C27:E27"/>
    <mergeCell ref="J32:K32"/>
    <mergeCell ref="C29:E29"/>
    <mergeCell ref="F29:G29"/>
    <mergeCell ref="H29:I29"/>
    <mergeCell ref="C30:E30"/>
    <mergeCell ref="H32:I32"/>
    <mergeCell ref="C26:E26"/>
    <mergeCell ref="F26:G26"/>
  </mergeCells>
  <printOptions horizontalCentered="1"/>
  <pageMargins left="0.7086614173228347" right="0.7086614173228347" top="0.6" bottom="0" header="0.48" footer="0.31496062992125984"/>
  <pageSetup fitToHeight="1" fitToWidth="1" horizontalDpi="600" verticalDpi="600" orientation="landscape" paperSize="9" scale="6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N42"/>
  <sheetViews>
    <sheetView view="pageBreakPreview" zoomScale="85" zoomScaleSheetLayoutView="85" zoomScalePageLayoutView="0" workbookViewId="0" topLeftCell="A1">
      <selection activeCell="P27" sqref="P27"/>
    </sheetView>
  </sheetViews>
  <sheetFormatPr defaultColWidth="9.140625" defaultRowHeight="12.75"/>
  <cols>
    <col min="1" max="1" width="9.140625" style="438" customWidth="1"/>
    <col min="2" max="2" width="24.140625" style="438" customWidth="1"/>
    <col min="3" max="3" width="14.57421875" style="438" customWidth="1"/>
    <col min="4" max="4" width="9.421875" style="438" customWidth="1"/>
    <col min="5" max="5" width="9.00390625" style="438" customWidth="1"/>
    <col min="6" max="6" width="11.57421875" style="438" customWidth="1"/>
    <col min="7" max="8" width="10.421875" style="438" customWidth="1"/>
    <col min="9" max="10" width="10.421875" style="454" customWidth="1"/>
    <col min="11" max="11" width="10.57421875" style="438" customWidth="1"/>
    <col min="12" max="12" width="10.421875" style="438" customWidth="1"/>
    <col min="13" max="13" width="11.57421875" style="438" customWidth="1"/>
    <col min="14" max="14" width="13.00390625" style="438" customWidth="1"/>
    <col min="15" max="16384" width="9.140625" style="438" customWidth="1"/>
  </cols>
  <sheetData>
    <row r="1" spans="1:14" ht="18">
      <c r="A1" s="1056" t="s">
        <v>0</v>
      </c>
      <c r="B1" s="1056"/>
      <c r="C1" s="1056"/>
      <c r="D1" s="1056"/>
      <c r="E1" s="1056"/>
      <c r="F1" s="1056"/>
      <c r="G1" s="1056"/>
      <c r="H1" s="1056"/>
      <c r="I1" s="1056"/>
      <c r="J1" s="1056"/>
      <c r="K1" s="1056"/>
      <c r="N1" s="439" t="s">
        <v>668</v>
      </c>
    </row>
    <row r="2" spans="1:11" ht="21">
      <c r="A2" s="1057" t="s">
        <v>859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</row>
    <row r="3" spans="1:10" ht="15">
      <c r="A3" s="440"/>
      <c r="B3" s="440"/>
      <c r="C3" s="440"/>
      <c r="D3" s="440"/>
      <c r="E3" s="440"/>
      <c r="F3" s="440"/>
      <c r="G3" s="440"/>
      <c r="H3" s="440"/>
      <c r="I3" s="441"/>
      <c r="J3" s="441"/>
    </row>
    <row r="4" spans="1:10" ht="18">
      <c r="A4" s="1056" t="s">
        <v>669</v>
      </c>
      <c r="B4" s="1056"/>
      <c r="C4" s="1056"/>
      <c r="D4" s="1056"/>
      <c r="E4" s="1056"/>
      <c r="F4" s="1056"/>
      <c r="G4" s="1056"/>
      <c r="H4" s="1056"/>
      <c r="I4" s="442"/>
      <c r="J4" s="442"/>
    </row>
    <row r="5" spans="1:12" ht="15">
      <c r="A5" s="443" t="s">
        <v>753</v>
      </c>
      <c r="B5" s="443"/>
      <c r="C5" s="443"/>
      <c r="D5" s="443"/>
      <c r="E5" s="443"/>
      <c r="F5" s="443"/>
      <c r="G5" s="443"/>
      <c r="H5" s="440"/>
      <c r="I5" s="441"/>
      <c r="J5" s="441"/>
      <c r="L5" s="438" t="s">
        <v>906</v>
      </c>
    </row>
    <row r="6" spans="1:14" ht="18" customHeight="1">
      <c r="A6" s="1075" t="s">
        <v>2</v>
      </c>
      <c r="B6" s="1075" t="s">
        <v>37</v>
      </c>
      <c r="C6" s="1077" t="s">
        <v>402</v>
      </c>
      <c r="D6" s="1078" t="s">
        <v>454</v>
      </c>
      <c r="E6" s="1078"/>
      <c r="F6" s="1078"/>
      <c r="G6" s="1078"/>
      <c r="H6" s="1079"/>
      <c r="I6" s="1080" t="s">
        <v>670</v>
      </c>
      <c r="J6" s="1080" t="s">
        <v>671</v>
      </c>
      <c r="K6" s="1081" t="s">
        <v>500</v>
      </c>
      <c r="L6" s="1081"/>
      <c r="M6" s="1081"/>
      <c r="N6" s="1081"/>
    </row>
    <row r="7" spans="1:14" ht="45" customHeight="1">
      <c r="A7" s="1076"/>
      <c r="B7" s="1076"/>
      <c r="C7" s="1077"/>
      <c r="D7" s="444" t="s">
        <v>453</v>
      </c>
      <c r="E7" s="444" t="s">
        <v>403</v>
      </c>
      <c r="F7" s="445" t="s">
        <v>404</v>
      </c>
      <c r="G7" s="444" t="s">
        <v>405</v>
      </c>
      <c r="H7" s="444" t="s">
        <v>47</v>
      </c>
      <c r="I7" s="1080"/>
      <c r="J7" s="1080"/>
      <c r="K7" s="446" t="s">
        <v>406</v>
      </c>
      <c r="L7" s="447" t="s">
        <v>501</v>
      </c>
      <c r="M7" s="444" t="s">
        <v>407</v>
      </c>
      <c r="N7" s="447" t="s">
        <v>408</v>
      </c>
    </row>
    <row r="8" spans="1:14" ht="15">
      <c r="A8" s="559">
        <v>1</v>
      </c>
      <c r="B8" s="448" t="s">
        <v>283</v>
      </c>
      <c r="C8" s="448" t="s">
        <v>284</v>
      </c>
      <c r="D8" s="448" t="s">
        <v>285</v>
      </c>
      <c r="E8" s="448" t="s">
        <v>286</v>
      </c>
      <c r="F8" s="448" t="s">
        <v>287</v>
      </c>
      <c r="G8" s="448" t="s">
        <v>288</v>
      </c>
      <c r="H8" s="448" t="s">
        <v>289</v>
      </c>
      <c r="I8" s="449" t="s">
        <v>298</v>
      </c>
      <c r="J8" s="449" t="s">
        <v>299</v>
      </c>
      <c r="K8" s="448" t="s">
        <v>300</v>
      </c>
      <c r="L8" s="448" t="s">
        <v>320</v>
      </c>
      <c r="M8" s="448" t="s">
        <v>321</v>
      </c>
      <c r="N8" s="559">
        <v>14</v>
      </c>
    </row>
    <row r="9" spans="1:14" ht="16.5">
      <c r="A9" s="262">
        <v>1</v>
      </c>
      <c r="B9" s="647" t="s">
        <v>898</v>
      </c>
      <c r="C9" s="517">
        <v>1893</v>
      </c>
      <c r="D9" s="672">
        <v>748</v>
      </c>
      <c r="E9" s="563">
        <v>28</v>
      </c>
      <c r="F9" s="563">
        <f>C9-D9-E9-G9-H9</f>
        <v>1070</v>
      </c>
      <c r="G9" s="563">
        <v>15</v>
      </c>
      <c r="H9" s="563">
        <v>32</v>
      </c>
      <c r="I9" s="562">
        <v>1744</v>
      </c>
      <c r="J9" s="517">
        <v>1976</v>
      </c>
      <c r="K9" s="673">
        <v>1976</v>
      </c>
      <c r="L9" s="673">
        <v>214</v>
      </c>
      <c r="M9" s="673">
        <v>0</v>
      </c>
      <c r="N9" s="673">
        <v>1976</v>
      </c>
    </row>
    <row r="10" spans="1:14" ht="16.5">
      <c r="A10" s="260">
        <v>2</v>
      </c>
      <c r="B10" s="647" t="s">
        <v>899</v>
      </c>
      <c r="C10" s="560">
        <v>1820</v>
      </c>
      <c r="D10" s="672">
        <v>358</v>
      </c>
      <c r="E10" s="561">
        <v>23</v>
      </c>
      <c r="F10" s="563">
        <f aca="true" t="shared" si="0" ref="F10:F35">C10-D10-E10-G10-H10</f>
        <v>1301</v>
      </c>
      <c r="G10" s="561">
        <v>26</v>
      </c>
      <c r="H10" s="561">
        <v>112</v>
      </c>
      <c r="I10" s="562">
        <v>1541</v>
      </c>
      <c r="J10" s="517">
        <v>1965</v>
      </c>
      <c r="K10" s="673">
        <v>1965</v>
      </c>
      <c r="L10" s="673">
        <v>233</v>
      </c>
      <c r="M10" s="673">
        <v>0</v>
      </c>
      <c r="N10" s="673">
        <v>1965</v>
      </c>
    </row>
    <row r="11" spans="1:14" ht="16.5">
      <c r="A11" s="260">
        <v>3</v>
      </c>
      <c r="B11" s="647" t="s">
        <v>839</v>
      </c>
      <c r="C11" s="517">
        <v>1879</v>
      </c>
      <c r="D11" s="672">
        <v>302</v>
      </c>
      <c r="E11" s="563">
        <v>24</v>
      </c>
      <c r="F11" s="563">
        <f t="shared" si="0"/>
        <v>1486</v>
      </c>
      <c r="G11" s="563">
        <v>31</v>
      </c>
      <c r="H11" s="563">
        <v>36</v>
      </c>
      <c r="I11" s="562">
        <f>J11</f>
        <v>1935</v>
      </c>
      <c r="J11" s="517">
        <v>1935</v>
      </c>
      <c r="K11" s="673">
        <v>1935</v>
      </c>
      <c r="L11" s="673">
        <v>451</v>
      </c>
      <c r="M11" s="673">
        <v>0</v>
      </c>
      <c r="N11" s="673">
        <v>1935</v>
      </c>
    </row>
    <row r="12" spans="1:14" ht="16.5">
      <c r="A12" s="260">
        <v>4</v>
      </c>
      <c r="B12" s="647" t="s">
        <v>743</v>
      </c>
      <c r="C12" s="560">
        <v>2384</v>
      </c>
      <c r="D12" s="672">
        <v>421</v>
      </c>
      <c r="E12" s="561">
        <v>96</v>
      </c>
      <c r="F12" s="563">
        <f t="shared" si="0"/>
        <v>1807</v>
      </c>
      <c r="G12" s="561">
        <v>11</v>
      </c>
      <c r="H12" s="561">
        <v>49</v>
      </c>
      <c r="I12" s="562">
        <v>2215</v>
      </c>
      <c r="J12" s="517">
        <v>2503</v>
      </c>
      <c r="K12" s="673">
        <v>2503</v>
      </c>
      <c r="L12" s="673">
        <v>654</v>
      </c>
      <c r="M12" s="673">
        <v>0</v>
      </c>
      <c r="N12" s="673">
        <v>2503</v>
      </c>
    </row>
    <row r="13" spans="1:14" ht="16.5">
      <c r="A13" s="260">
        <v>5</v>
      </c>
      <c r="B13" s="647" t="s">
        <v>748</v>
      </c>
      <c r="C13" s="560">
        <v>2765</v>
      </c>
      <c r="D13" s="672">
        <v>655</v>
      </c>
      <c r="E13" s="561">
        <v>150</v>
      </c>
      <c r="F13" s="563">
        <f t="shared" si="0"/>
        <v>1798</v>
      </c>
      <c r="G13" s="561">
        <v>19</v>
      </c>
      <c r="H13" s="561">
        <v>143</v>
      </c>
      <c r="I13" s="562">
        <v>2541</v>
      </c>
      <c r="J13" s="517">
        <v>2904</v>
      </c>
      <c r="K13" s="673">
        <v>2904</v>
      </c>
      <c r="L13" s="673">
        <v>548</v>
      </c>
      <c r="M13" s="673">
        <v>0</v>
      </c>
      <c r="N13" s="673">
        <v>2904</v>
      </c>
    </row>
    <row r="14" spans="1:14" ht="16.5">
      <c r="A14" s="260">
        <v>6</v>
      </c>
      <c r="B14" s="647" t="s">
        <v>747</v>
      </c>
      <c r="C14" s="517">
        <v>2629</v>
      </c>
      <c r="D14" s="672">
        <v>445</v>
      </c>
      <c r="E14" s="563">
        <v>58</v>
      </c>
      <c r="F14" s="563">
        <f t="shared" si="0"/>
        <v>2096</v>
      </c>
      <c r="G14" s="563">
        <v>8</v>
      </c>
      <c r="H14" s="563">
        <v>22</v>
      </c>
      <c r="I14" s="562">
        <v>2145</v>
      </c>
      <c r="J14" s="517">
        <v>2657</v>
      </c>
      <c r="K14" s="673">
        <v>2657</v>
      </c>
      <c r="L14" s="673">
        <v>522</v>
      </c>
      <c r="M14" s="673">
        <v>0</v>
      </c>
      <c r="N14" s="673">
        <v>2657</v>
      </c>
    </row>
    <row r="15" spans="1:14" ht="16.5">
      <c r="A15" s="260">
        <v>7</v>
      </c>
      <c r="B15" s="647" t="s">
        <v>737</v>
      </c>
      <c r="C15" s="560">
        <v>948</v>
      </c>
      <c r="D15" s="672">
        <v>571</v>
      </c>
      <c r="E15" s="561">
        <v>52</v>
      </c>
      <c r="F15" s="563">
        <f t="shared" si="0"/>
        <v>302</v>
      </c>
      <c r="G15" s="561">
        <v>2</v>
      </c>
      <c r="H15" s="561">
        <v>21</v>
      </c>
      <c r="I15" s="562">
        <v>745</v>
      </c>
      <c r="J15" s="517">
        <v>969</v>
      </c>
      <c r="K15" s="673">
        <v>969</v>
      </c>
      <c r="L15" s="673">
        <v>365</v>
      </c>
      <c r="M15" s="673">
        <v>0</v>
      </c>
      <c r="N15" s="673">
        <v>969</v>
      </c>
    </row>
    <row r="16" spans="1:14" ht="16.5">
      <c r="A16" s="260">
        <v>8</v>
      </c>
      <c r="B16" s="647" t="s">
        <v>749</v>
      </c>
      <c r="C16" s="517">
        <v>1226</v>
      </c>
      <c r="D16" s="672">
        <v>702</v>
      </c>
      <c r="E16" s="563">
        <v>83</v>
      </c>
      <c r="F16" s="563">
        <f t="shared" si="0"/>
        <v>394</v>
      </c>
      <c r="G16" s="563">
        <v>6</v>
      </c>
      <c r="H16" s="563">
        <v>41</v>
      </c>
      <c r="I16" s="562">
        <v>1025</v>
      </c>
      <c r="J16" s="517">
        <v>1280</v>
      </c>
      <c r="K16" s="673">
        <v>1280</v>
      </c>
      <c r="L16" s="673">
        <v>451</v>
      </c>
      <c r="M16" s="673">
        <v>0</v>
      </c>
      <c r="N16" s="673">
        <v>1280</v>
      </c>
    </row>
    <row r="17" spans="1:14" ht="16.5">
      <c r="A17" s="260">
        <v>9</v>
      </c>
      <c r="B17" s="647" t="s">
        <v>834</v>
      </c>
      <c r="C17" s="560">
        <v>2035</v>
      </c>
      <c r="D17" s="672">
        <v>215</v>
      </c>
      <c r="E17" s="561">
        <v>109</v>
      </c>
      <c r="F17" s="563">
        <f t="shared" si="0"/>
        <v>1606</v>
      </c>
      <c r="G17" s="561">
        <v>9</v>
      </c>
      <c r="H17" s="561">
        <v>96</v>
      </c>
      <c r="I17" s="562">
        <v>1958</v>
      </c>
      <c r="J17" s="517">
        <v>2192</v>
      </c>
      <c r="K17" s="673">
        <v>2192</v>
      </c>
      <c r="L17" s="673">
        <v>66</v>
      </c>
      <c r="M17" s="673">
        <v>0</v>
      </c>
      <c r="N17" s="673">
        <v>2192</v>
      </c>
    </row>
    <row r="18" spans="1:14" ht="16.5">
      <c r="A18" s="260">
        <v>10</v>
      </c>
      <c r="B18" s="647" t="s">
        <v>739</v>
      </c>
      <c r="C18" s="560">
        <v>501</v>
      </c>
      <c r="D18" s="672">
        <v>69</v>
      </c>
      <c r="E18" s="561">
        <v>39</v>
      </c>
      <c r="F18" s="563">
        <f t="shared" si="0"/>
        <v>318</v>
      </c>
      <c r="G18" s="561">
        <v>9</v>
      </c>
      <c r="H18" s="561">
        <v>66</v>
      </c>
      <c r="I18" s="562">
        <v>425</v>
      </c>
      <c r="J18" s="517">
        <v>567</v>
      </c>
      <c r="K18" s="673">
        <v>567</v>
      </c>
      <c r="L18" s="673">
        <v>54</v>
      </c>
      <c r="M18" s="673">
        <v>0</v>
      </c>
      <c r="N18" s="673">
        <v>567</v>
      </c>
    </row>
    <row r="19" spans="1:14" ht="16.5">
      <c r="A19" s="260">
        <v>11</v>
      </c>
      <c r="B19" s="647" t="s">
        <v>900</v>
      </c>
      <c r="C19" s="517">
        <v>856</v>
      </c>
      <c r="D19" s="672">
        <v>158</v>
      </c>
      <c r="E19" s="563">
        <v>31</v>
      </c>
      <c r="F19" s="563">
        <f t="shared" si="0"/>
        <v>616</v>
      </c>
      <c r="G19" s="563">
        <v>3</v>
      </c>
      <c r="H19" s="563">
        <v>48</v>
      </c>
      <c r="I19" s="562">
        <v>652</v>
      </c>
      <c r="J19" s="517">
        <v>983</v>
      </c>
      <c r="K19" s="673">
        <v>983</v>
      </c>
      <c r="L19" s="673">
        <v>98</v>
      </c>
      <c r="M19" s="673">
        <v>0</v>
      </c>
      <c r="N19" s="673">
        <v>983</v>
      </c>
    </row>
    <row r="20" spans="1:14" ht="16.5">
      <c r="A20" s="260">
        <v>12</v>
      </c>
      <c r="B20" s="647" t="s">
        <v>731</v>
      </c>
      <c r="C20" s="560">
        <v>1770</v>
      </c>
      <c r="D20" s="672">
        <v>154</v>
      </c>
      <c r="E20" s="561">
        <v>49</v>
      </c>
      <c r="F20" s="563">
        <f t="shared" si="0"/>
        <v>1536</v>
      </c>
      <c r="G20" s="561">
        <v>6</v>
      </c>
      <c r="H20" s="561">
        <v>25</v>
      </c>
      <c r="I20" s="562">
        <v>1544</v>
      </c>
      <c r="J20" s="517">
        <v>1835</v>
      </c>
      <c r="K20" s="673">
        <v>1835</v>
      </c>
      <c r="L20" s="673">
        <v>254</v>
      </c>
      <c r="M20" s="673">
        <v>0</v>
      </c>
      <c r="N20" s="673">
        <v>1835</v>
      </c>
    </row>
    <row r="21" spans="1:14" ht="16.5">
      <c r="A21" s="260">
        <v>13</v>
      </c>
      <c r="B21" s="647" t="s">
        <v>742</v>
      </c>
      <c r="C21" s="560">
        <v>1159</v>
      </c>
      <c r="D21" s="672">
        <v>603</v>
      </c>
      <c r="E21" s="561">
        <v>62</v>
      </c>
      <c r="F21" s="563">
        <f t="shared" si="0"/>
        <v>419</v>
      </c>
      <c r="G21" s="561">
        <v>17</v>
      </c>
      <c r="H21" s="561">
        <v>58</v>
      </c>
      <c r="I21" s="562">
        <v>956</v>
      </c>
      <c r="J21" s="517">
        <v>1239</v>
      </c>
      <c r="K21" s="673">
        <v>1239</v>
      </c>
      <c r="L21" s="673">
        <v>278</v>
      </c>
      <c r="M21" s="673">
        <v>0</v>
      </c>
      <c r="N21" s="673">
        <v>1239</v>
      </c>
    </row>
    <row r="22" spans="1:14" ht="16.5">
      <c r="A22" s="260">
        <v>14</v>
      </c>
      <c r="B22" s="647" t="s">
        <v>740</v>
      </c>
      <c r="C22" s="560">
        <v>1038</v>
      </c>
      <c r="D22" s="672">
        <v>388</v>
      </c>
      <c r="E22" s="561">
        <v>74</v>
      </c>
      <c r="F22" s="563">
        <f t="shared" si="0"/>
        <v>480</v>
      </c>
      <c r="G22" s="561">
        <v>3</v>
      </c>
      <c r="H22" s="561">
        <v>93</v>
      </c>
      <c r="I22" s="562">
        <v>1021</v>
      </c>
      <c r="J22" s="517">
        <v>1133</v>
      </c>
      <c r="K22" s="673">
        <v>1133</v>
      </c>
      <c r="L22" s="673">
        <v>356</v>
      </c>
      <c r="M22" s="673">
        <v>0</v>
      </c>
      <c r="N22" s="673">
        <v>1133</v>
      </c>
    </row>
    <row r="23" spans="1:14" ht="16.5">
      <c r="A23" s="260">
        <v>15</v>
      </c>
      <c r="B23" s="647" t="s">
        <v>734</v>
      </c>
      <c r="C23" s="560">
        <v>1421</v>
      </c>
      <c r="D23" s="672">
        <v>325</v>
      </c>
      <c r="E23" s="561">
        <v>38</v>
      </c>
      <c r="F23" s="563">
        <f t="shared" si="0"/>
        <v>1035</v>
      </c>
      <c r="G23" s="561">
        <v>6</v>
      </c>
      <c r="H23" s="561">
        <v>17</v>
      </c>
      <c r="I23" s="562">
        <v>1102</v>
      </c>
      <c r="J23" s="517">
        <v>1432</v>
      </c>
      <c r="K23" s="673">
        <v>1432</v>
      </c>
      <c r="L23" s="673">
        <v>371</v>
      </c>
      <c r="M23" s="673">
        <v>0</v>
      </c>
      <c r="N23" s="673">
        <v>1432</v>
      </c>
    </row>
    <row r="24" spans="1:14" ht="16.5">
      <c r="A24" s="260">
        <v>16</v>
      </c>
      <c r="B24" s="647" t="s">
        <v>741</v>
      </c>
      <c r="C24" s="560">
        <v>1770</v>
      </c>
      <c r="D24" s="672">
        <v>501</v>
      </c>
      <c r="E24" s="561">
        <v>33</v>
      </c>
      <c r="F24" s="563">
        <f t="shared" si="0"/>
        <v>1197</v>
      </c>
      <c r="G24" s="561">
        <v>14</v>
      </c>
      <c r="H24" s="561">
        <v>25</v>
      </c>
      <c r="I24" s="562">
        <v>1478</v>
      </c>
      <c r="J24" s="517">
        <v>1830</v>
      </c>
      <c r="K24" s="673">
        <v>1830</v>
      </c>
      <c r="L24" s="673">
        <v>298</v>
      </c>
      <c r="M24" s="673">
        <v>0</v>
      </c>
      <c r="N24" s="673">
        <v>1830</v>
      </c>
    </row>
    <row r="25" spans="1:14" ht="16.5">
      <c r="A25" s="260">
        <v>17</v>
      </c>
      <c r="B25" s="647" t="s">
        <v>733</v>
      </c>
      <c r="C25" s="560">
        <v>1360</v>
      </c>
      <c r="D25" s="672">
        <v>245</v>
      </c>
      <c r="E25" s="561">
        <v>13</v>
      </c>
      <c r="F25" s="563">
        <f t="shared" si="0"/>
        <v>1089</v>
      </c>
      <c r="G25" s="561">
        <v>3</v>
      </c>
      <c r="H25" s="561">
        <v>10</v>
      </c>
      <c r="I25" s="562">
        <v>956</v>
      </c>
      <c r="J25" s="517">
        <v>1383</v>
      </c>
      <c r="K25" s="673">
        <v>1383</v>
      </c>
      <c r="L25" s="673">
        <v>258</v>
      </c>
      <c r="M25" s="673">
        <v>0</v>
      </c>
      <c r="N25" s="673">
        <v>1383</v>
      </c>
    </row>
    <row r="26" spans="1:14" ht="16.5">
      <c r="A26" s="260">
        <v>18</v>
      </c>
      <c r="B26" s="647" t="s">
        <v>735</v>
      </c>
      <c r="C26" s="560">
        <v>2258</v>
      </c>
      <c r="D26" s="672">
        <v>322</v>
      </c>
      <c r="E26" s="561">
        <v>75</v>
      </c>
      <c r="F26" s="563">
        <f t="shared" si="0"/>
        <v>1813</v>
      </c>
      <c r="G26" s="561">
        <v>3</v>
      </c>
      <c r="H26" s="561">
        <v>45</v>
      </c>
      <c r="I26" s="562">
        <v>1545</v>
      </c>
      <c r="J26" s="517">
        <v>2342</v>
      </c>
      <c r="K26" s="673">
        <v>2342</v>
      </c>
      <c r="L26" s="673">
        <v>568</v>
      </c>
      <c r="M26" s="673">
        <v>0</v>
      </c>
      <c r="N26" s="673">
        <v>2342</v>
      </c>
    </row>
    <row r="27" spans="1:14" ht="16.5">
      <c r="A27" s="260">
        <v>19</v>
      </c>
      <c r="B27" s="647" t="s">
        <v>732</v>
      </c>
      <c r="C27" s="560">
        <v>1898</v>
      </c>
      <c r="D27" s="672">
        <v>255</v>
      </c>
      <c r="E27" s="561">
        <v>47</v>
      </c>
      <c r="F27" s="563">
        <f t="shared" si="0"/>
        <v>1530</v>
      </c>
      <c r="G27" s="561">
        <v>18</v>
      </c>
      <c r="H27" s="561">
        <v>48</v>
      </c>
      <c r="I27" s="562">
        <v>1425</v>
      </c>
      <c r="J27" s="517">
        <v>2020</v>
      </c>
      <c r="K27" s="673">
        <v>2020</v>
      </c>
      <c r="L27" s="673">
        <v>358</v>
      </c>
      <c r="M27" s="673">
        <v>0</v>
      </c>
      <c r="N27" s="673">
        <v>2020</v>
      </c>
    </row>
    <row r="28" spans="1:14" ht="16.5">
      <c r="A28" s="260">
        <v>20</v>
      </c>
      <c r="B28" s="647" t="s">
        <v>836</v>
      </c>
      <c r="C28" s="560">
        <v>2198</v>
      </c>
      <c r="D28" s="672">
        <v>289</v>
      </c>
      <c r="E28" s="561">
        <v>9</v>
      </c>
      <c r="F28" s="563">
        <f t="shared" si="0"/>
        <v>1824</v>
      </c>
      <c r="G28" s="561">
        <v>49</v>
      </c>
      <c r="H28" s="561">
        <v>27</v>
      </c>
      <c r="I28" s="562">
        <v>1482</v>
      </c>
      <c r="J28" s="517">
        <v>2266</v>
      </c>
      <c r="K28" s="673">
        <v>2266</v>
      </c>
      <c r="L28" s="673">
        <v>322</v>
      </c>
      <c r="M28" s="673">
        <v>0</v>
      </c>
      <c r="N28" s="673">
        <v>2266</v>
      </c>
    </row>
    <row r="29" spans="1:14" ht="16.5">
      <c r="A29" s="260">
        <v>21</v>
      </c>
      <c r="B29" s="647" t="s">
        <v>729</v>
      </c>
      <c r="C29" s="560">
        <v>1437</v>
      </c>
      <c r="D29" s="672">
        <v>254</v>
      </c>
      <c r="E29" s="561">
        <v>26</v>
      </c>
      <c r="F29" s="563">
        <f t="shared" si="0"/>
        <v>1120</v>
      </c>
      <c r="G29" s="561">
        <v>14</v>
      </c>
      <c r="H29" s="561">
        <v>23</v>
      </c>
      <c r="I29" s="562">
        <v>1144</v>
      </c>
      <c r="J29" s="517">
        <v>1480</v>
      </c>
      <c r="K29" s="673">
        <v>1480</v>
      </c>
      <c r="L29" s="673">
        <v>854</v>
      </c>
      <c r="M29" s="673">
        <v>0</v>
      </c>
      <c r="N29" s="673">
        <v>1480</v>
      </c>
    </row>
    <row r="30" spans="1:14" ht="16.5">
      <c r="A30" s="260">
        <v>22</v>
      </c>
      <c r="B30" s="647" t="s">
        <v>746</v>
      </c>
      <c r="C30" s="560">
        <v>1745</v>
      </c>
      <c r="D30" s="672">
        <v>645</v>
      </c>
      <c r="E30" s="561">
        <v>67</v>
      </c>
      <c r="F30" s="563">
        <f t="shared" si="0"/>
        <v>969</v>
      </c>
      <c r="G30" s="561">
        <v>5</v>
      </c>
      <c r="H30" s="561">
        <v>59</v>
      </c>
      <c r="I30" s="562">
        <v>1659</v>
      </c>
      <c r="J30" s="517">
        <v>1808</v>
      </c>
      <c r="K30" s="673">
        <v>1808</v>
      </c>
      <c r="L30" s="673">
        <v>547</v>
      </c>
      <c r="M30" s="673">
        <v>0</v>
      </c>
      <c r="N30" s="673">
        <v>1808</v>
      </c>
    </row>
    <row r="31" spans="1:14" ht="16.5">
      <c r="A31" s="260">
        <v>23</v>
      </c>
      <c r="B31" s="647" t="s">
        <v>738</v>
      </c>
      <c r="C31" s="560">
        <v>1244</v>
      </c>
      <c r="D31" s="672">
        <v>499</v>
      </c>
      <c r="E31" s="561">
        <v>72</v>
      </c>
      <c r="F31" s="563">
        <f t="shared" si="0"/>
        <v>564</v>
      </c>
      <c r="G31" s="561">
        <v>8</v>
      </c>
      <c r="H31" s="561">
        <v>101</v>
      </c>
      <c r="I31" s="562">
        <v>1125</v>
      </c>
      <c r="J31" s="517">
        <v>1336</v>
      </c>
      <c r="K31" s="673">
        <v>1336</v>
      </c>
      <c r="L31" s="673">
        <v>588</v>
      </c>
      <c r="M31" s="673">
        <v>0</v>
      </c>
      <c r="N31" s="673">
        <v>1336</v>
      </c>
    </row>
    <row r="32" spans="1:14" ht="16.5">
      <c r="A32" s="260">
        <v>24</v>
      </c>
      <c r="B32" s="647" t="s">
        <v>730</v>
      </c>
      <c r="C32" s="560">
        <v>2154</v>
      </c>
      <c r="D32" s="672">
        <v>1502</v>
      </c>
      <c r="E32" s="561">
        <v>27</v>
      </c>
      <c r="F32" s="563">
        <f t="shared" si="0"/>
        <v>577</v>
      </c>
      <c r="G32" s="561">
        <v>7</v>
      </c>
      <c r="H32" s="561">
        <v>41</v>
      </c>
      <c r="I32" s="562">
        <v>2005</v>
      </c>
      <c r="J32" s="517">
        <v>2207</v>
      </c>
      <c r="K32" s="673">
        <v>2207</v>
      </c>
      <c r="L32" s="673">
        <v>298</v>
      </c>
      <c r="M32" s="673">
        <v>0</v>
      </c>
      <c r="N32" s="673">
        <v>2207</v>
      </c>
    </row>
    <row r="33" spans="1:14" ht="16.5">
      <c r="A33" s="260">
        <v>25</v>
      </c>
      <c r="B33" s="647" t="s">
        <v>736</v>
      </c>
      <c r="C33" s="560">
        <v>854</v>
      </c>
      <c r="D33" s="672">
        <v>255</v>
      </c>
      <c r="E33" s="561">
        <v>36</v>
      </c>
      <c r="F33" s="563">
        <f t="shared" si="0"/>
        <v>521</v>
      </c>
      <c r="G33" s="561">
        <v>10</v>
      </c>
      <c r="H33" s="561">
        <v>32</v>
      </c>
      <c r="I33" s="562">
        <v>625</v>
      </c>
      <c r="J33" s="517">
        <v>884</v>
      </c>
      <c r="K33" s="673">
        <v>884</v>
      </c>
      <c r="L33" s="673">
        <v>65</v>
      </c>
      <c r="M33" s="673">
        <v>0</v>
      </c>
      <c r="N33" s="673">
        <v>884</v>
      </c>
    </row>
    <row r="34" spans="1:14" ht="16.5">
      <c r="A34" s="260">
        <v>26</v>
      </c>
      <c r="B34" s="647" t="s">
        <v>744</v>
      </c>
      <c r="C34" s="560">
        <v>857</v>
      </c>
      <c r="D34" s="672">
        <v>254</v>
      </c>
      <c r="E34" s="561">
        <v>43</v>
      </c>
      <c r="F34" s="563">
        <f t="shared" si="0"/>
        <v>549</v>
      </c>
      <c r="G34" s="561">
        <v>0</v>
      </c>
      <c r="H34" s="561">
        <v>11</v>
      </c>
      <c r="I34" s="562">
        <v>452</v>
      </c>
      <c r="J34" s="517">
        <v>887</v>
      </c>
      <c r="K34" s="673">
        <v>887</v>
      </c>
      <c r="L34" s="673">
        <v>54</v>
      </c>
      <c r="M34" s="673">
        <v>0</v>
      </c>
      <c r="N34" s="673">
        <v>887</v>
      </c>
    </row>
    <row r="35" spans="1:14" ht="16.5">
      <c r="A35" s="262">
        <v>27</v>
      </c>
      <c r="B35" s="647" t="s">
        <v>745</v>
      </c>
      <c r="C35" s="560">
        <v>938</v>
      </c>
      <c r="D35" s="672">
        <v>925</v>
      </c>
      <c r="E35" s="561">
        <v>0</v>
      </c>
      <c r="F35" s="563">
        <f t="shared" si="0"/>
        <v>10</v>
      </c>
      <c r="G35" s="561">
        <v>0</v>
      </c>
      <c r="H35" s="561">
        <v>3</v>
      </c>
      <c r="I35" s="562">
        <v>546</v>
      </c>
      <c r="J35" s="517">
        <v>941</v>
      </c>
      <c r="K35" s="673">
        <v>941</v>
      </c>
      <c r="L35" s="673">
        <v>325</v>
      </c>
      <c r="M35" s="673">
        <v>0</v>
      </c>
      <c r="N35" s="673">
        <v>941</v>
      </c>
    </row>
    <row r="36" spans="1:14" ht="15.75">
      <c r="A36" s="452" t="s">
        <v>19</v>
      </c>
      <c r="B36" s="450"/>
      <c r="C36" s="517">
        <f aca="true" t="shared" si="1" ref="C36:H36">SUM(C9:C35)</f>
        <v>43037</v>
      </c>
      <c r="D36" s="563">
        <f t="shared" si="1"/>
        <v>12060</v>
      </c>
      <c r="E36" s="563">
        <f t="shared" si="1"/>
        <v>1364</v>
      </c>
      <c r="F36" s="563">
        <f t="shared" si="1"/>
        <v>28027</v>
      </c>
      <c r="G36" s="563">
        <f t="shared" si="1"/>
        <v>302</v>
      </c>
      <c r="H36" s="563">
        <f t="shared" si="1"/>
        <v>1284</v>
      </c>
      <c r="I36" s="563">
        <f>SUM(I9:I35)</f>
        <v>35991</v>
      </c>
      <c r="J36" s="563">
        <f>SUM(J9:J35)</f>
        <v>44954</v>
      </c>
      <c r="K36" s="563">
        <f>SUM(K9:K35)</f>
        <v>44954</v>
      </c>
      <c r="L36" s="563">
        <f>SUM(L9:L35)</f>
        <v>9450</v>
      </c>
      <c r="M36" s="563">
        <f>SUM(M9:M35)</f>
        <v>0</v>
      </c>
      <c r="N36" s="563">
        <f>SUM(N8:N35)</f>
        <v>44968</v>
      </c>
    </row>
    <row r="37" spans="9:10" ht="12.75">
      <c r="I37" s="453"/>
      <c r="J37" s="453"/>
    </row>
    <row r="38" spans="9:10" ht="12.75">
      <c r="I38" s="453"/>
      <c r="J38" s="453"/>
    </row>
    <row r="39" spans="1:12" ht="12.75" customHeight="1">
      <c r="A39" s="394"/>
      <c r="C39" s="394"/>
      <c r="D39" s="394"/>
      <c r="H39" s="1035" t="s">
        <v>13</v>
      </c>
      <c r="I39" s="1035"/>
      <c r="J39" s="1035"/>
      <c r="K39" s="1035"/>
      <c r="L39" s="1035"/>
    </row>
    <row r="40" spans="1:12" ht="12.75" customHeight="1">
      <c r="A40" s="394"/>
      <c r="B40" s="394"/>
      <c r="C40" s="394"/>
      <c r="D40" s="394"/>
      <c r="H40" s="1035" t="s">
        <v>14</v>
      </c>
      <c r="I40" s="1035"/>
      <c r="J40" s="1035"/>
      <c r="K40" s="1035"/>
      <c r="L40" s="1035"/>
    </row>
    <row r="41" spans="1:11" ht="12.75" customHeight="1">
      <c r="A41" s="394"/>
      <c r="B41" s="394"/>
      <c r="C41" s="394"/>
      <c r="D41" s="394"/>
      <c r="I41" s="453"/>
      <c r="J41" s="453"/>
      <c r="K41" s="395" t="s">
        <v>662</v>
      </c>
    </row>
    <row r="42" spans="1:11" ht="12.75">
      <c r="A42" s="394" t="s">
        <v>12</v>
      </c>
      <c r="C42" s="394"/>
      <c r="D42" s="394"/>
      <c r="I42" s="453"/>
      <c r="J42" s="453"/>
      <c r="K42" s="396" t="s">
        <v>84</v>
      </c>
    </row>
  </sheetData>
  <sheetProtection/>
  <mergeCells count="12">
    <mergeCell ref="J6:J7"/>
    <mergeCell ref="K6:N6"/>
    <mergeCell ref="H39:L39"/>
    <mergeCell ref="H40:L40"/>
    <mergeCell ref="A1:K1"/>
    <mergeCell ref="A2:K2"/>
    <mergeCell ref="A4:H4"/>
    <mergeCell ref="A6:A7"/>
    <mergeCell ref="B6:B7"/>
    <mergeCell ref="C6:C7"/>
    <mergeCell ref="D6:H6"/>
    <mergeCell ref="I6:I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6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J42"/>
  <sheetViews>
    <sheetView view="pageBreakPreview" zoomScale="120" zoomScaleSheetLayoutView="120" zoomScalePageLayoutView="0" workbookViewId="0" topLeftCell="A4">
      <selection activeCell="J9" sqref="J9:J35"/>
    </sheetView>
  </sheetViews>
  <sheetFormatPr defaultColWidth="9.140625" defaultRowHeight="12.75"/>
  <cols>
    <col min="1" max="1" width="8.28125" style="438" customWidth="1"/>
    <col min="2" max="2" width="23.57421875" style="438" customWidth="1"/>
    <col min="3" max="3" width="16.7109375" style="438" customWidth="1"/>
    <col min="4" max="4" width="12.57421875" style="438" customWidth="1"/>
    <col min="5" max="5" width="13.00390625" style="438" customWidth="1"/>
    <col min="6" max="6" width="14.7109375" style="438" customWidth="1"/>
    <col min="7" max="7" width="13.57421875" style="438" customWidth="1"/>
    <col min="8" max="8" width="15.57421875" style="438" customWidth="1"/>
    <col min="9" max="16384" width="9.140625" style="438" customWidth="1"/>
  </cols>
  <sheetData>
    <row r="1" spans="1:8" ht="18">
      <c r="A1" s="1056" t="s">
        <v>0</v>
      </c>
      <c r="B1" s="1056"/>
      <c r="C1" s="1056"/>
      <c r="D1" s="1056"/>
      <c r="E1" s="1056"/>
      <c r="F1" s="1056"/>
      <c r="G1" s="1056"/>
      <c r="H1" s="439" t="s">
        <v>672</v>
      </c>
    </row>
    <row r="2" spans="1:7" ht="21">
      <c r="A2" s="1057" t="s">
        <v>859</v>
      </c>
      <c r="B2" s="1057"/>
      <c r="C2" s="1057"/>
      <c r="D2" s="1057"/>
      <c r="E2" s="1057"/>
      <c r="F2" s="1057"/>
      <c r="G2" s="1057"/>
    </row>
    <row r="3" spans="1:7" ht="15">
      <c r="A3" s="440"/>
      <c r="B3" s="440"/>
      <c r="C3" s="440"/>
      <c r="D3" s="440"/>
      <c r="E3" s="440"/>
      <c r="F3" s="440"/>
      <c r="G3" s="440"/>
    </row>
    <row r="4" spans="1:7" ht="18">
      <c r="A4" s="1056" t="s">
        <v>673</v>
      </c>
      <c r="B4" s="1056"/>
      <c r="C4" s="1056"/>
      <c r="D4" s="1056"/>
      <c r="E4" s="1056"/>
      <c r="F4" s="1056"/>
      <c r="G4" s="1056"/>
    </row>
    <row r="5" spans="1:7" ht="15">
      <c r="A5" s="443" t="s">
        <v>706</v>
      </c>
      <c r="B5" s="443"/>
      <c r="C5" s="443"/>
      <c r="D5" s="443"/>
      <c r="E5" s="443"/>
      <c r="F5" s="443"/>
      <c r="G5" s="443" t="s">
        <v>906</v>
      </c>
    </row>
    <row r="6" spans="1:8" ht="21.75" customHeight="1">
      <c r="A6" s="1075" t="s">
        <v>2</v>
      </c>
      <c r="B6" s="1075" t="s">
        <v>502</v>
      </c>
      <c r="C6" s="1077" t="s">
        <v>37</v>
      </c>
      <c r="D6" s="1077" t="s">
        <v>507</v>
      </c>
      <c r="E6" s="1077"/>
      <c r="F6" s="1078" t="s">
        <v>508</v>
      </c>
      <c r="G6" s="1078"/>
      <c r="H6" s="1075" t="s">
        <v>245</v>
      </c>
    </row>
    <row r="7" spans="1:8" ht="25.5" customHeight="1">
      <c r="A7" s="1076"/>
      <c r="B7" s="1076"/>
      <c r="C7" s="1077"/>
      <c r="D7" s="444" t="s">
        <v>503</v>
      </c>
      <c r="E7" s="444" t="s">
        <v>504</v>
      </c>
      <c r="F7" s="445" t="s">
        <v>505</v>
      </c>
      <c r="G7" s="444" t="s">
        <v>506</v>
      </c>
      <c r="H7" s="1076"/>
    </row>
    <row r="8" spans="1:8" ht="15">
      <c r="A8" s="448" t="s">
        <v>282</v>
      </c>
      <c r="B8" s="448" t="s">
        <v>283</v>
      </c>
      <c r="C8" s="448" t="s">
        <v>284</v>
      </c>
      <c r="D8" s="448" t="s">
        <v>285</v>
      </c>
      <c r="E8" s="448" t="s">
        <v>286</v>
      </c>
      <c r="F8" s="448" t="s">
        <v>287</v>
      </c>
      <c r="G8" s="448" t="s">
        <v>288</v>
      </c>
      <c r="H8" s="448">
        <v>8</v>
      </c>
    </row>
    <row r="9" spans="1:10" ht="15.75" customHeight="1">
      <c r="A9" s="262">
        <v>1</v>
      </c>
      <c r="B9" s="1082" t="s">
        <v>999</v>
      </c>
      <c r="C9" s="647" t="s">
        <v>898</v>
      </c>
      <c r="D9" s="719">
        <v>6</v>
      </c>
      <c r="E9" s="719">
        <v>6</v>
      </c>
      <c r="F9" s="720">
        <v>3</v>
      </c>
      <c r="G9" s="716">
        <f aca="true" t="shared" si="0" ref="G9:G35">E9-F9</f>
        <v>3</v>
      </c>
      <c r="H9" s="718"/>
      <c r="J9" s="1082"/>
    </row>
    <row r="10" spans="1:10" ht="12.75">
      <c r="A10" s="260">
        <v>2</v>
      </c>
      <c r="B10" s="1083"/>
      <c r="C10" s="647" t="s">
        <v>899</v>
      </c>
      <c r="D10" s="715">
        <v>5</v>
      </c>
      <c r="E10" s="715">
        <v>5</v>
      </c>
      <c r="F10" s="716">
        <v>1</v>
      </c>
      <c r="G10" s="716">
        <f t="shared" si="0"/>
        <v>4</v>
      </c>
      <c r="H10" s="716"/>
      <c r="J10" s="1083"/>
    </row>
    <row r="11" spans="1:10" ht="14.25">
      <c r="A11" s="260">
        <v>3</v>
      </c>
      <c r="B11" s="1083"/>
      <c r="C11" s="647" t="s">
        <v>839</v>
      </c>
      <c r="D11" s="719">
        <v>8</v>
      </c>
      <c r="E11" s="719">
        <v>8</v>
      </c>
      <c r="F11" s="720">
        <v>5</v>
      </c>
      <c r="G11" s="716">
        <f t="shared" si="0"/>
        <v>3</v>
      </c>
      <c r="H11" s="718"/>
      <c r="J11" s="1083"/>
    </row>
    <row r="12" spans="1:10" ht="12.75">
      <c r="A12" s="260">
        <v>4</v>
      </c>
      <c r="B12" s="1083"/>
      <c r="C12" s="647" t="s">
        <v>743</v>
      </c>
      <c r="D12" s="715">
        <v>8</v>
      </c>
      <c r="E12" s="715">
        <v>8</v>
      </c>
      <c r="F12" s="716">
        <v>2</v>
      </c>
      <c r="G12" s="716">
        <f t="shared" si="0"/>
        <v>6</v>
      </c>
      <c r="H12" s="716"/>
      <c r="J12" s="1083"/>
    </row>
    <row r="13" spans="1:10" ht="14.25">
      <c r="A13" s="260">
        <v>5</v>
      </c>
      <c r="B13" s="1083"/>
      <c r="C13" s="647" t="s">
        <v>748</v>
      </c>
      <c r="D13" s="719">
        <v>9</v>
      </c>
      <c r="E13" s="719">
        <v>9</v>
      </c>
      <c r="F13" s="720">
        <v>2</v>
      </c>
      <c r="G13" s="716">
        <f t="shared" si="0"/>
        <v>7</v>
      </c>
      <c r="H13" s="718"/>
      <c r="J13" s="1083"/>
    </row>
    <row r="14" spans="1:10" ht="14.25">
      <c r="A14" s="260">
        <v>6</v>
      </c>
      <c r="B14" s="1083"/>
      <c r="C14" s="647" t="s">
        <v>747</v>
      </c>
      <c r="D14" s="719">
        <v>9</v>
      </c>
      <c r="E14" s="719">
        <v>9</v>
      </c>
      <c r="F14" s="720">
        <v>7</v>
      </c>
      <c r="G14" s="716">
        <f t="shared" si="0"/>
        <v>2</v>
      </c>
      <c r="H14" s="718"/>
      <c r="J14" s="1083"/>
    </row>
    <row r="15" spans="1:10" ht="14.25">
      <c r="A15" s="260">
        <v>7</v>
      </c>
      <c r="B15" s="1083"/>
      <c r="C15" s="647" t="s">
        <v>737</v>
      </c>
      <c r="D15" s="717">
        <v>4</v>
      </c>
      <c r="E15" s="717">
        <v>4</v>
      </c>
      <c r="F15" s="718">
        <v>3</v>
      </c>
      <c r="G15" s="716">
        <f t="shared" si="0"/>
        <v>1</v>
      </c>
      <c r="H15" s="718"/>
      <c r="J15" s="1083"/>
    </row>
    <row r="16" spans="1:10" ht="14.25">
      <c r="A16" s="260">
        <v>8</v>
      </c>
      <c r="B16" s="1083"/>
      <c r="C16" s="647" t="s">
        <v>749</v>
      </c>
      <c r="D16" s="719">
        <v>5</v>
      </c>
      <c r="E16" s="719">
        <v>5</v>
      </c>
      <c r="F16" s="720">
        <v>4</v>
      </c>
      <c r="G16" s="716">
        <f t="shared" si="0"/>
        <v>1</v>
      </c>
      <c r="H16" s="718"/>
      <c r="J16" s="1083"/>
    </row>
    <row r="17" spans="1:10" ht="12.75">
      <c r="A17" s="260">
        <v>9</v>
      </c>
      <c r="B17" s="1083"/>
      <c r="C17" s="647" t="s">
        <v>834</v>
      </c>
      <c r="D17" s="715">
        <v>8</v>
      </c>
      <c r="E17" s="715">
        <v>8</v>
      </c>
      <c r="F17" s="716">
        <v>6</v>
      </c>
      <c r="G17" s="716">
        <f t="shared" si="0"/>
        <v>2</v>
      </c>
      <c r="H17" s="716"/>
      <c r="J17" s="1083"/>
    </row>
    <row r="18" spans="1:10" ht="14.25">
      <c r="A18" s="260">
        <v>10</v>
      </c>
      <c r="B18" s="1083"/>
      <c r="C18" s="647" t="s">
        <v>739</v>
      </c>
      <c r="D18" s="719">
        <v>2</v>
      </c>
      <c r="E18" s="719">
        <v>2</v>
      </c>
      <c r="F18" s="720">
        <v>2</v>
      </c>
      <c r="G18" s="716">
        <f t="shared" si="0"/>
        <v>0</v>
      </c>
      <c r="H18" s="718"/>
      <c r="J18" s="1083"/>
    </row>
    <row r="19" spans="1:10" ht="14.25">
      <c r="A19" s="260">
        <v>11</v>
      </c>
      <c r="B19" s="1083"/>
      <c r="C19" s="647" t="s">
        <v>900</v>
      </c>
      <c r="D19" s="719">
        <v>3</v>
      </c>
      <c r="E19" s="719">
        <v>3</v>
      </c>
      <c r="F19" s="720">
        <v>3</v>
      </c>
      <c r="G19" s="716">
        <f t="shared" si="0"/>
        <v>0</v>
      </c>
      <c r="H19" s="718"/>
      <c r="J19" s="1083"/>
    </row>
    <row r="20" spans="1:10" ht="14.25">
      <c r="A20" s="260">
        <v>12</v>
      </c>
      <c r="B20" s="1083"/>
      <c r="C20" s="647" t="s">
        <v>731</v>
      </c>
      <c r="D20" s="717">
        <v>5</v>
      </c>
      <c r="E20" s="717">
        <v>5</v>
      </c>
      <c r="F20" s="718">
        <v>4</v>
      </c>
      <c r="G20" s="716">
        <f t="shared" si="0"/>
        <v>1</v>
      </c>
      <c r="H20" s="718"/>
      <c r="J20" s="1083"/>
    </row>
    <row r="21" spans="1:10" ht="12.75">
      <c r="A21" s="260">
        <v>13</v>
      </c>
      <c r="B21" s="1083"/>
      <c r="C21" s="647" t="s">
        <v>742</v>
      </c>
      <c r="D21" s="715">
        <v>5</v>
      </c>
      <c r="E21" s="715">
        <v>5</v>
      </c>
      <c r="F21" s="716">
        <v>4</v>
      </c>
      <c r="G21" s="716">
        <f t="shared" si="0"/>
        <v>1</v>
      </c>
      <c r="H21" s="716"/>
      <c r="J21" s="1083"/>
    </row>
    <row r="22" spans="1:10" ht="12.75">
      <c r="A22" s="260">
        <v>14</v>
      </c>
      <c r="B22" s="1083"/>
      <c r="C22" s="647" t="s">
        <v>740</v>
      </c>
      <c r="D22" s="715">
        <v>4</v>
      </c>
      <c r="E22" s="715">
        <v>4</v>
      </c>
      <c r="F22" s="716">
        <v>4</v>
      </c>
      <c r="G22" s="716">
        <f t="shared" si="0"/>
        <v>0</v>
      </c>
      <c r="H22" s="716"/>
      <c r="J22" s="1083"/>
    </row>
    <row r="23" spans="1:10" ht="14.25">
      <c r="A23" s="260">
        <v>15</v>
      </c>
      <c r="B23" s="1083"/>
      <c r="C23" s="647" t="s">
        <v>734</v>
      </c>
      <c r="D23" s="717">
        <v>5</v>
      </c>
      <c r="E23" s="717">
        <v>5</v>
      </c>
      <c r="F23" s="718">
        <v>4</v>
      </c>
      <c r="G23" s="716">
        <f t="shared" si="0"/>
        <v>1</v>
      </c>
      <c r="H23" s="718"/>
      <c r="J23" s="1083"/>
    </row>
    <row r="24" spans="1:10" ht="12.75">
      <c r="A24" s="260">
        <v>16</v>
      </c>
      <c r="B24" s="1083"/>
      <c r="C24" s="647" t="s">
        <v>741</v>
      </c>
      <c r="D24" s="715">
        <v>6</v>
      </c>
      <c r="E24" s="715">
        <v>6</v>
      </c>
      <c r="F24" s="716">
        <v>3</v>
      </c>
      <c r="G24" s="716">
        <f t="shared" si="0"/>
        <v>3</v>
      </c>
      <c r="H24" s="716"/>
      <c r="J24" s="1083"/>
    </row>
    <row r="25" spans="1:10" ht="14.25">
      <c r="A25" s="260">
        <v>17</v>
      </c>
      <c r="B25" s="1083"/>
      <c r="C25" s="647" t="s">
        <v>733</v>
      </c>
      <c r="D25" s="719">
        <v>6</v>
      </c>
      <c r="E25" s="719">
        <v>6</v>
      </c>
      <c r="F25" s="720">
        <v>3</v>
      </c>
      <c r="G25" s="716">
        <f t="shared" si="0"/>
        <v>3</v>
      </c>
      <c r="H25" s="718"/>
      <c r="J25" s="1083"/>
    </row>
    <row r="26" spans="1:10" ht="14.25">
      <c r="A26" s="260">
        <v>18</v>
      </c>
      <c r="B26" s="1083"/>
      <c r="C26" s="647" t="s">
        <v>735</v>
      </c>
      <c r="D26" s="717">
        <v>9</v>
      </c>
      <c r="E26" s="717">
        <v>9</v>
      </c>
      <c r="F26" s="718">
        <v>2</v>
      </c>
      <c r="G26" s="716">
        <f t="shared" si="0"/>
        <v>7</v>
      </c>
      <c r="H26" s="718"/>
      <c r="J26" s="1083"/>
    </row>
    <row r="27" spans="1:10" ht="14.25">
      <c r="A27" s="260">
        <v>19</v>
      </c>
      <c r="B27" s="1083"/>
      <c r="C27" s="647" t="s">
        <v>732</v>
      </c>
      <c r="D27" s="717">
        <v>5</v>
      </c>
      <c r="E27" s="717">
        <v>5</v>
      </c>
      <c r="F27" s="718">
        <v>0</v>
      </c>
      <c r="G27" s="716">
        <f t="shared" si="0"/>
        <v>5</v>
      </c>
      <c r="H27" s="718"/>
      <c r="J27" s="1083"/>
    </row>
    <row r="28" spans="1:10" ht="14.25">
      <c r="A28" s="260">
        <v>20</v>
      </c>
      <c r="B28" s="1083"/>
      <c r="C28" s="647" t="s">
        <v>836</v>
      </c>
      <c r="D28" s="717">
        <v>8</v>
      </c>
      <c r="E28" s="717">
        <v>8</v>
      </c>
      <c r="F28" s="718">
        <v>2</v>
      </c>
      <c r="G28" s="716">
        <f t="shared" si="0"/>
        <v>6</v>
      </c>
      <c r="H28" s="718"/>
      <c r="J28" s="1083"/>
    </row>
    <row r="29" spans="1:10" ht="14.25">
      <c r="A29" s="260">
        <v>21</v>
      </c>
      <c r="B29" s="1083"/>
      <c r="C29" s="647" t="s">
        <v>729</v>
      </c>
      <c r="D29" s="717">
        <v>4</v>
      </c>
      <c r="E29" s="717">
        <v>4</v>
      </c>
      <c r="F29" s="718">
        <v>2</v>
      </c>
      <c r="G29" s="716">
        <f t="shared" si="0"/>
        <v>2</v>
      </c>
      <c r="H29" s="718"/>
      <c r="J29" s="1083"/>
    </row>
    <row r="30" spans="1:10" ht="14.25">
      <c r="A30" s="260">
        <v>22</v>
      </c>
      <c r="B30" s="1083"/>
      <c r="C30" s="647" t="s">
        <v>746</v>
      </c>
      <c r="D30" s="719">
        <v>5</v>
      </c>
      <c r="E30" s="719">
        <v>5</v>
      </c>
      <c r="F30" s="720">
        <v>3</v>
      </c>
      <c r="G30" s="716">
        <f t="shared" si="0"/>
        <v>2</v>
      </c>
      <c r="H30" s="718"/>
      <c r="J30" s="1083"/>
    </row>
    <row r="31" spans="1:10" ht="14.25">
      <c r="A31" s="260">
        <v>23</v>
      </c>
      <c r="B31" s="1083"/>
      <c r="C31" s="647" t="s">
        <v>738</v>
      </c>
      <c r="D31" s="717">
        <v>5</v>
      </c>
      <c r="E31" s="717">
        <v>5</v>
      </c>
      <c r="F31" s="718">
        <v>5</v>
      </c>
      <c r="G31" s="716">
        <f t="shared" si="0"/>
        <v>0</v>
      </c>
      <c r="H31" s="718"/>
      <c r="J31" s="1083"/>
    </row>
    <row r="32" spans="1:10" ht="14.25">
      <c r="A32" s="260">
        <v>24</v>
      </c>
      <c r="B32" s="1083"/>
      <c r="C32" s="647" t="s">
        <v>730</v>
      </c>
      <c r="D32" s="717">
        <v>7</v>
      </c>
      <c r="E32" s="717">
        <v>7</v>
      </c>
      <c r="F32" s="718">
        <v>6</v>
      </c>
      <c r="G32" s="716">
        <f t="shared" si="0"/>
        <v>1</v>
      </c>
      <c r="H32" s="718"/>
      <c r="J32" s="1083"/>
    </row>
    <row r="33" spans="1:10" ht="12.75">
      <c r="A33" s="260">
        <v>25</v>
      </c>
      <c r="B33" s="1083"/>
      <c r="C33" s="647" t="s">
        <v>736</v>
      </c>
      <c r="D33" s="715">
        <v>4</v>
      </c>
      <c r="E33" s="715">
        <v>4</v>
      </c>
      <c r="F33" s="716">
        <v>4</v>
      </c>
      <c r="G33" s="716">
        <f t="shared" si="0"/>
        <v>0</v>
      </c>
      <c r="H33" s="716"/>
      <c r="J33" s="1083"/>
    </row>
    <row r="34" spans="1:10" ht="12.75">
      <c r="A34" s="260">
        <v>26</v>
      </c>
      <c r="B34" s="1083"/>
      <c r="C34" s="647" t="s">
        <v>744</v>
      </c>
      <c r="D34" s="715">
        <v>4</v>
      </c>
      <c r="E34" s="715">
        <v>4</v>
      </c>
      <c r="F34" s="716">
        <v>3</v>
      </c>
      <c r="G34" s="716">
        <f t="shared" si="0"/>
        <v>1</v>
      </c>
      <c r="H34" s="716"/>
      <c r="J34" s="1083"/>
    </row>
    <row r="35" spans="1:10" ht="14.25">
      <c r="A35" s="262">
        <v>27</v>
      </c>
      <c r="B35" s="1084"/>
      <c r="C35" s="647" t="s">
        <v>745</v>
      </c>
      <c r="D35" s="719">
        <v>3</v>
      </c>
      <c r="E35" s="719">
        <v>3</v>
      </c>
      <c r="F35" s="720">
        <v>2</v>
      </c>
      <c r="G35" s="716">
        <f t="shared" si="0"/>
        <v>1</v>
      </c>
      <c r="H35" s="718"/>
      <c r="I35" s="451" t="s">
        <v>401</v>
      </c>
      <c r="J35" s="1084"/>
    </row>
    <row r="36" spans="1:8" ht="12.75">
      <c r="A36" s="452" t="s">
        <v>19</v>
      </c>
      <c r="B36" s="450"/>
      <c r="C36" s="450"/>
      <c r="D36" s="466">
        <f>SUM(D9:D35)</f>
        <v>152</v>
      </c>
      <c r="E36" s="466">
        <f>SUM(E9:E35)</f>
        <v>152</v>
      </c>
      <c r="F36" s="466">
        <f>SUM(F9:F35)</f>
        <v>89</v>
      </c>
      <c r="G36" s="466">
        <f>SUM(G9:G35)</f>
        <v>63</v>
      </c>
      <c r="H36" s="466">
        <f>SUM(H9:H35)</f>
        <v>0</v>
      </c>
    </row>
    <row r="37" spans="1:7" ht="22.5" customHeight="1">
      <c r="A37" s="1086" t="s">
        <v>778</v>
      </c>
      <c r="B37" s="1086"/>
      <c r="C37" s="1086"/>
      <c r="D37" s="1086"/>
      <c r="E37" s="1086"/>
      <c r="F37" s="1086"/>
      <c r="G37" s="1086"/>
    </row>
    <row r="38" ht="33" customHeight="1"/>
    <row r="39" spans="1:8" ht="17.25" customHeight="1">
      <c r="A39" s="467"/>
      <c r="B39" s="467"/>
      <c r="C39" s="467"/>
      <c r="D39" s="467"/>
      <c r="F39" s="1085" t="s">
        <v>13</v>
      </c>
      <c r="G39" s="1085"/>
      <c r="H39" s="1085"/>
    </row>
    <row r="40" spans="1:8" ht="12.75" customHeight="1">
      <c r="A40" s="467"/>
      <c r="B40" s="467"/>
      <c r="C40" s="467"/>
      <c r="D40" s="467"/>
      <c r="F40" s="1085" t="s">
        <v>14</v>
      </c>
      <c r="G40" s="1085"/>
      <c r="H40" s="1085"/>
    </row>
    <row r="41" spans="1:7" ht="12.75" customHeight="1">
      <c r="A41" s="467"/>
      <c r="B41" s="467"/>
      <c r="C41" s="467"/>
      <c r="D41" s="467"/>
      <c r="G41" s="468" t="s">
        <v>662</v>
      </c>
    </row>
    <row r="42" spans="1:7" ht="12.75">
      <c r="A42" s="467" t="s">
        <v>12</v>
      </c>
      <c r="C42" s="467"/>
      <c r="D42" s="467"/>
      <c r="G42" s="469" t="s">
        <v>84</v>
      </c>
    </row>
  </sheetData>
  <sheetProtection/>
  <mergeCells count="14">
    <mergeCell ref="A1:G1"/>
    <mergeCell ref="A2:G2"/>
    <mergeCell ref="A4:G4"/>
    <mergeCell ref="A6:A7"/>
    <mergeCell ref="B6:B7"/>
    <mergeCell ref="C6:C7"/>
    <mergeCell ref="D6:E6"/>
    <mergeCell ref="F6:G6"/>
    <mergeCell ref="J9:J35"/>
    <mergeCell ref="H6:H7"/>
    <mergeCell ref="B9:B35"/>
    <mergeCell ref="F39:H39"/>
    <mergeCell ref="F40:H40"/>
    <mergeCell ref="A37:G3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N23"/>
  <sheetViews>
    <sheetView view="pageBreakPreview" zoomScale="84" zoomScaleSheetLayoutView="84" zoomScalePageLayoutView="0" workbookViewId="0" topLeftCell="A1">
      <selection activeCell="K12" sqref="K12"/>
    </sheetView>
  </sheetViews>
  <sheetFormatPr defaultColWidth="9.140625" defaultRowHeight="12.75"/>
  <cols>
    <col min="1" max="1" width="6.421875" style="0" customWidth="1"/>
    <col min="2" max="2" width="15.421875" style="0" customWidth="1"/>
    <col min="3" max="3" width="15.28125" style="0" customWidth="1"/>
    <col min="4" max="5" width="15.421875" style="0" customWidth="1"/>
    <col min="6" max="9" width="15.7109375" style="0" customWidth="1"/>
    <col min="10" max="10" width="15.421875" style="0" customWidth="1"/>
    <col min="11" max="11" width="20.00390625" style="0" customWidth="1"/>
    <col min="12" max="12" width="14.28125" style="0" customWidth="1"/>
  </cols>
  <sheetData>
    <row r="1" spans="1:12" ht="18">
      <c r="A1" s="958" t="s">
        <v>0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213" t="s">
        <v>674</v>
      </c>
    </row>
    <row r="2" spans="1:11" ht="21">
      <c r="A2" s="959" t="s">
        <v>859</v>
      </c>
      <c r="B2" s="959"/>
      <c r="C2" s="959"/>
      <c r="D2" s="959"/>
      <c r="E2" s="959"/>
      <c r="F2" s="959"/>
      <c r="G2" s="959"/>
      <c r="H2" s="959"/>
      <c r="I2" s="959"/>
      <c r="J2" s="959"/>
      <c r="K2" s="959"/>
    </row>
    <row r="3" spans="1:11" ht="1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8">
      <c r="A4" s="958" t="s">
        <v>675</v>
      </c>
      <c r="B4" s="958"/>
      <c r="C4" s="958"/>
      <c r="D4" s="958"/>
      <c r="E4" s="958"/>
      <c r="F4" s="958"/>
      <c r="G4" s="958"/>
      <c r="H4" s="958"/>
      <c r="I4" s="958"/>
      <c r="J4" s="958"/>
      <c r="K4" s="958"/>
    </row>
    <row r="5" spans="1:11" ht="15">
      <c r="A5" s="192" t="s">
        <v>753</v>
      </c>
      <c r="B5" s="192"/>
      <c r="C5" s="192"/>
      <c r="D5" s="192"/>
      <c r="E5" s="192"/>
      <c r="F5" s="192"/>
      <c r="G5" s="192"/>
      <c r="H5" s="192"/>
      <c r="I5" s="192"/>
      <c r="J5" s="192" t="s">
        <v>906</v>
      </c>
      <c r="K5" s="192"/>
    </row>
    <row r="6" spans="1:12" ht="21.75" customHeight="1">
      <c r="A6" s="1040" t="s">
        <v>2</v>
      </c>
      <c r="B6" s="1040" t="s">
        <v>37</v>
      </c>
      <c r="C6" s="894" t="s">
        <v>466</v>
      </c>
      <c r="D6" s="895"/>
      <c r="E6" s="896"/>
      <c r="F6" s="894" t="s">
        <v>472</v>
      </c>
      <c r="G6" s="895"/>
      <c r="H6" s="895"/>
      <c r="I6" s="896"/>
      <c r="J6" s="871" t="s">
        <v>474</v>
      </c>
      <c r="K6" s="871"/>
      <c r="L6" s="871"/>
    </row>
    <row r="7" spans="1:12" ht="29.25" customHeight="1">
      <c r="A7" s="1041"/>
      <c r="B7" s="1041"/>
      <c r="C7" s="383" t="s">
        <v>235</v>
      </c>
      <c r="D7" s="383" t="s">
        <v>468</v>
      </c>
      <c r="E7" s="383" t="s">
        <v>473</v>
      </c>
      <c r="F7" s="383" t="s">
        <v>235</v>
      </c>
      <c r="G7" s="383" t="s">
        <v>467</v>
      </c>
      <c r="H7" s="383" t="s">
        <v>469</v>
      </c>
      <c r="I7" s="383" t="s">
        <v>473</v>
      </c>
      <c r="J7" s="5" t="s">
        <v>470</v>
      </c>
      <c r="K7" s="5" t="s">
        <v>471</v>
      </c>
      <c r="L7" s="383" t="s">
        <v>473</v>
      </c>
    </row>
    <row r="8" spans="1:12" ht="15">
      <c r="A8" s="194" t="s">
        <v>282</v>
      </c>
      <c r="B8" s="194" t="s">
        <v>283</v>
      </c>
      <c r="C8" s="194" t="s">
        <v>284</v>
      </c>
      <c r="D8" s="194" t="s">
        <v>285</v>
      </c>
      <c r="E8" s="194" t="s">
        <v>286</v>
      </c>
      <c r="F8" s="194" t="s">
        <v>287</v>
      </c>
      <c r="G8" s="194" t="s">
        <v>288</v>
      </c>
      <c r="H8" s="194" t="s">
        <v>289</v>
      </c>
      <c r="I8" s="194" t="s">
        <v>298</v>
      </c>
      <c r="J8" s="194" t="s">
        <v>299</v>
      </c>
      <c r="K8" s="194" t="s">
        <v>300</v>
      </c>
      <c r="L8" s="194" t="s">
        <v>320</v>
      </c>
    </row>
    <row r="9" spans="1:14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N9" t="s">
        <v>11</v>
      </c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19" t="s">
        <v>401</v>
      </c>
    </row>
    <row r="14" spans="1:12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20" spans="1:11" ht="12.75" customHeight="1">
      <c r="A20" s="394"/>
      <c r="B20" s="394"/>
      <c r="C20" s="394"/>
      <c r="D20" s="394"/>
      <c r="E20" s="394"/>
      <c r="F20" s="394"/>
      <c r="K20" s="395" t="s">
        <v>13</v>
      </c>
    </row>
    <row r="21" spans="1:12" ht="12.75" customHeight="1">
      <c r="A21" s="394"/>
      <c r="B21" s="394"/>
      <c r="C21" s="394"/>
      <c r="D21" s="394"/>
      <c r="E21" s="394"/>
      <c r="F21" s="394"/>
      <c r="J21" s="1035" t="s">
        <v>14</v>
      </c>
      <c r="K21" s="1035"/>
      <c r="L21" s="1035"/>
    </row>
    <row r="22" spans="1:6" ht="12.75" customHeight="1">
      <c r="A22" s="394"/>
      <c r="B22" s="394"/>
      <c r="C22" s="394"/>
      <c r="D22" s="394"/>
      <c r="E22" s="394"/>
      <c r="F22" s="394"/>
    </row>
    <row r="23" spans="1:6" ht="12.75">
      <c r="A23" s="394" t="s">
        <v>12</v>
      </c>
      <c r="F23" s="394"/>
    </row>
  </sheetData>
  <sheetProtection/>
  <mergeCells count="9">
    <mergeCell ref="J21:L21"/>
    <mergeCell ref="A1:K1"/>
    <mergeCell ref="A2:K2"/>
    <mergeCell ref="A4:K4"/>
    <mergeCell ref="A6:A7"/>
    <mergeCell ref="B6:B7"/>
    <mergeCell ref="C6:E6"/>
    <mergeCell ref="F6:I6"/>
    <mergeCell ref="J6:L6"/>
  </mergeCells>
  <printOptions horizontalCentered="1"/>
  <pageMargins left="0.7086614173228347" right="0.7086614173228347" top="0.93" bottom="0" header="0.84" footer="0.31496062992125984"/>
  <pageSetup fitToHeight="1" fitToWidth="1" horizontalDpi="600" verticalDpi="600" orientation="landscape" paperSize="9" scale="74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M43"/>
  <sheetViews>
    <sheetView view="pageBreakPreview" zoomScale="80" zoomScaleSheetLayoutView="80" zoomScalePageLayoutView="0" workbookViewId="0" topLeftCell="A5">
      <selection activeCell="K28" sqref="K28"/>
    </sheetView>
  </sheetViews>
  <sheetFormatPr defaultColWidth="9.140625" defaultRowHeight="12.75"/>
  <cols>
    <col min="1" max="1" width="7.7109375" style="0" customWidth="1"/>
    <col min="2" max="2" width="15.421875" style="0" customWidth="1"/>
    <col min="3" max="3" width="15.28125" style="0" customWidth="1"/>
    <col min="4" max="5" width="15.421875" style="0" customWidth="1"/>
    <col min="6" max="10" width="15.7109375" style="0" customWidth="1"/>
    <col min="11" max="11" width="14.28125" style="0" customWidth="1"/>
  </cols>
  <sheetData>
    <row r="1" spans="1:11" ht="18">
      <c r="A1" s="958" t="s">
        <v>0</v>
      </c>
      <c r="B1" s="958"/>
      <c r="C1" s="958"/>
      <c r="D1" s="958"/>
      <c r="E1" s="958"/>
      <c r="F1" s="958"/>
      <c r="G1" s="958"/>
      <c r="H1" s="958"/>
      <c r="I1" s="793"/>
      <c r="J1" s="793"/>
      <c r="K1" s="213" t="s">
        <v>676</v>
      </c>
    </row>
    <row r="2" spans="1:10" ht="21">
      <c r="A2" s="959" t="s">
        <v>859</v>
      </c>
      <c r="B2" s="959"/>
      <c r="C2" s="959"/>
      <c r="D2" s="959"/>
      <c r="E2" s="959"/>
      <c r="F2" s="959"/>
      <c r="G2" s="959"/>
      <c r="H2" s="959"/>
      <c r="I2" s="377"/>
      <c r="J2" s="377"/>
    </row>
    <row r="3" spans="1:10" ht="15">
      <c r="A3" s="191"/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8">
      <c r="A4" s="958" t="s">
        <v>677</v>
      </c>
      <c r="B4" s="958"/>
      <c r="C4" s="958"/>
      <c r="D4" s="958"/>
      <c r="E4" s="958"/>
      <c r="F4" s="958"/>
      <c r="G4" s="958"/>
      <c r="H4" s="958"/>
      <c r="I4" s="793"/>
      <c r="J4" s="793"/>
    </row>
    <row r="5" spans="1:10" ht="15">
      <c r="A5" s="192" t="s">
        <v>706</v>
      </c>
      <c r="B5" s="192"/>
      <c r="C5" s="192"/>
      <c r="D5" s="192"/>
      <c r="E5" s="192"/>
      <c r="F5" s="192"/>
      <c r="G5" s="192" t="s">
        <v>826</v>
      </c>
      <c r="H5" s="192"/>
      <c r="I5" s="192"/>
      <c r="J5" s="192"/>
    </row>
    <row r="6" spans="1:11" ht="21.75" customHeight="1">
      <c r="A6" s="1040" t="s">
        <v>2</v>
      </c>
      <c r="B6" s="1040" t="s">
        <v>37</v>
      </c>
      <c r="C6" s="894" t="s">
        <v>483</v>
      </c>
      <c r="D6" s="895"/>
      <c r="E6" s="896"/>
      <c r="F6" s="894" t="s">
        <v>486</v>
      </c>
      <c r="G6" s="895"/>
      <c r="H6" s="896"/>
      <c r="I6" s="963" t="s">
        <v>1050</v>
      </c>
      <c r="J6" s="963" t="s">
        <v>1049</v>
      </c>
      <c r="K6" s="963" t="s">
        <v>78</v>
      </c>
    </row>
    <row r="7" spans="1:11" ht="26.25" customHeight="1">
      <c r="A7" s="1041"/>
      <c r="B7" s="1041"/>
      <c r="C7" s="5" t="s">
        <v>482</v>
      </c>
      <c r="D7" s="5" t="s">
        <v>484</v>
      </c>
      <c r="E7" s="5" t="s">
        <v>485</v>
      </c>
      <c r="F7" s="5" t="s">
        <v>482</v>
      </c>
      <c r="G7" s="5" t="s">
        <v>484</v>
      </c>
      <c r="H7" s="5" t="s">
        <v>485</v>
      </c>
      <c r="I7" s="964"/>
      <c r="J7" s="964"/>
      <c r="K7" s="964"/>
    </row>
    <row r="8" spans="1:11" ht="15">
      <c r="A8" s="252">
        <v>1</v>
      </c>
      <c r="B8" s="252">
        <v>2</v>
      </c>
      <c r="C8" s="252">
        <v>3</v>
      </c>
      <c r="D8" s="252">
        <v>4</v>
      </c>
      <c r="E8" s="252">
        <v>5</v>
      </c>
      <c r="F8" s="252">
        <v>6</v>
      </c>
      <c r="G8" s="252">
        <v>7</v>
      </c>
      <c r="H8" s="252">
        <v>8</v>
      </c>
      <c r="I8" s="252">
        <v>9</v>
      </c>
      <c r="J8" s="252">
        <v>10</v>
      </c>
      <c r="K8" s="252">
        <v>11</v>
      </c>
    </row>
    <row r="9" spans="1:11" ht="15">
      <c r="A9" s="262">
        <v>1</v>
      </c>
      <c r="B9" s="586" t="s">
        <v>898</v>
      </c>
      <c r="C9" s="252" t="s">
        <v>612</v>
      </c>
      <c r="D9" s="252" t="s">
        <v>612</v>
      </c>
      <c r="E9" s="252" t="s">
        <v>612</v>
      </c>
      <c r="F9" s="252" t="s">
        <v>612</v>
      </c>
      <c r="G9" s="252" t="s">
        <v>612</v>
      </c>
      <c r="H9" s="252" t="s">
        <v>612</v>
      </c>
      <c r="I9" s="252" t="s">
        <v>612</v>
      </c>
      <c r="J9" s="252" t="s">
        <v>612</v>
      </c>
      <c r="K9" s="674"/>
    </row>
    <row r="10" spans="1:11" ht="15">
      <c r="A10" s="260">
        <v>2</v>
      </c>
      <c r="B10" s="586" t="s">
        <v>899</v>
      </c>
      <c r="C10" s="252" t="s">
        <v>612</v>
      </c>
      <c r="D10" s="252" t="s">
        <v>612</v>
      </c>
      <c r="E10" s="252" t="s">
        <v>612</v>
      </c>
      <c r="F10" s="252" t="s">
        <v>612</v>
      </c>
      <c r="G10" s="252" t="s">
        <v>612</v>
      </c>
      <c r="H10" s="252" t="s">
        <v>612</v>
      </c>
      <c r="I10" s="252" t="s">
        <v>612</v>
      </c>
      <c r="J10" s="252" t="s">
        <v>612</v>
      </c>
      <c r="K10" s="252"/>
    </row>
    <row r="11" spans="1:11" ht="15">
      <c r="A11" s="260">
        <v>3</v>
      </c>
      <c r="B11" s="586" t="s">
        <v>839</v>
      </c>
      <c r="C11" s="252" t="s">
        <v>612</v>
      </c>
      <c r="D11" s="252" t="s">
        <v>612</v>
      </c>
      <c r="E11" s="252" t="s">
        <v>612</v>
      </c>
      <c r="F11" s="252" t="s">
        <v>612</v>
      </c>
      <c r="G11" s="252" t="s">
        <v>612</v>
      </c>
      <c r="H11" s="252" t="s">
        <v>612</v>
      </c>
      <c r="I11" s="252" t="s">
        <v>612</v>
      </c>
      <c r="J11" s="252" t="s">
        <v>612</v>
      </c>
      <c r="K11" s="677" t="s">
        <v>401</v>
      </c>
    </row>
    <row r="12" spans="1:11" ht="15">
      <c r="A12" s="260">
        <v>4</v>
      </c>
      <c r="B12" s="586" t="s">
        <v>743</v>
      </c>
      <c r="C12" s="252" t="s">
        <v>612</v>
      </c>
      <c r="D12" s="252" t="s">
        <v>612</v>
      </c>
      <c r="E12" s="252" t="s">
        <v>612</v>
      </c>
      <c r="F12" s="252" t="s">
        <v>612</v>
      </c>
      <c r="G12" s="252" t="s">
        <v>612</v>
      </c>
      <c r="H12" s="252" t="s">
        <v>612</v>
      </c>
      <c r="I12" s="252" t="s">
        <v>612</v>
      </c>
      <c r="J12" s="252" t="s">
        <v>612</v>
      </c>
      <c r="K12" s="252"/>
    </row>
    <row r="13" spans="1:11" ht="15">
      <c r="A13" s="260">
        <v>5</v>
      </c>
      <c r="B13" s="586" t="s">
        <v>748</v>
      </c>
      <c r="C13" s="252" t="s">
        <v>612</v>
      </c>
      <c r="D13" s="252" t="s">
        <v>612</v>
      </c>
      <c r="E13" s="252" t="s">
        <v>612</v>
      </c>
      <c r="F13" s="252" t="s">
        <v>612</v>
      </c>
      <c r="G13" s="252" t="s">
        <v>612</v>
      </c>
      <c r="H13" s="252" t="s">
        <v>612</v>
      </c>
      <c r="I13" s="252" t="s">
        <v>612</v>
      </c>
      <c r="J13" s="252" t="s">
        <v>612</v>
      </c>
      <c r="K13" s="676"/>
    </row>
    <row r="14" spans="1:11" ht="15">
      <c r="A14" s="260">
        <v>6</v>
      </c>
      <c r="B14" s="586" t="s">
        <v>747</v>
      </c>
      <c r="C14" s="252" t="s">
        <v>612</v>
      </c>
      <c r="D14" s="252" t="s">
        <v>612</v>
      </c>
      <c r="E14" s="252" t="s">
        <v>612</v>
      </c>
      <c r="F14" s="252" t="s">
        <v>612</v>
      </c>
      <c r="G14" s="252" t="s">
        <v>612</v>
      </c>
      <c r="H14" s="252" t="s">
        <v>612</v>
      </c>
      <c r="I14" s="252" t="s">
        <v>612</v>
      </c>
      <c r="J14" s="252" t="s">
        <v>612</v>
      </c>
      <c r="K14" s="674"/>
    </row>
    <row r="15" spans="1:11" ht="15">
      <c r="A15" s="260">
        <v>7</v>
      </c>
      <c r="B15" s="586" t="s">
        <v>737</v>
      </c>
      <c r="C15" s="252" t="s">
        <v>612</v>
      </c>
      <c r="D15" s="252" t="s">
        <v>612</v>
      </c>
      <c r="E15" s="252" t="s">
        <v>612</v>
      </c>
      <c r="F15" s="252" t="s">
        <v>612</v>
      </c>
      <c r="G15" s="252" t="s">
        <v>612</v>
      </c>
      <c r="H15" s="252" t="s">
        <v>612</v>
      </c>
      <c r="I15" s="252" t="s">
        <v>612</v>
      </c>
      <c r="J15" s="252" t="s">
        <v>612</v>
      </c>
      <c r="K15" s="252"/>
    </row>
    <row r="16" spans="1:11" ht="15">
      <c r="A16" s="260">
        <v>8</v>
      </c>
      <c r="B16" s="586" t="s">
        <v>749</v>
      </c>
      <c r="C16" s="252" t="s">
        <v>612</v>
      </c>
      <c r="D16" s="252" t="s">
        <v>612</v>
      </c>
      <c r="E16" s="252" t="s">
        <v>612</v>
      </c>
      <c r="F16" s="252" t="s">
        <v>612</v>
      </c>
      <c r="G16" s="252" t="s">
        <v>612</v>
      </c>
      <c r="H16" s="252" t="s">
        <v>612</v>
      </c>
      <c r="I16" s="252" t="s">
        <v>612</v>
      </c>
      <c r="J16" s="252" t="s">
        <v>612</v>
      </c>
      <c r="K16" s="674"/>
    </row>
    <row r="17" spans="1:11" ht="15">
      <c r="A17" s="260">
        <v>9</v>
      </c>
      <c r="B17" s="586" t="s">
        <v>834</v>
      </c>
      <c r="C17" s="252" t="s">
        <v>612</v>
      </c>
      <c r="D17" s="252" t="s">
        <v>612</v>
      </c>
      <c r="E17" s="252" t="s">
        <v>612</v>
      </c>
      <c r="F17" s="252" t="s">
        <v>612</v>
      </c>
      <c r="G17" s="252" t="s">
        <v>612</v>
      </c>
      <c r="H17" s="252" t="s">
        <v>612</v>
      </c>
      <c r="I17" s="252" t="s">
        <v>612</v>
      </c>
      <c r="J17" s="252" t="s">
        <v>612</v>
      </c>
      <c r="K17" s="252"/>
    </row>
    <row r="18" spans="1:11" ht="15">
      <c r="A18" s="260">
        <v>10</v>
      </c>
      <c r="B18" s="586" t="s">
        <v>739</v>
      </c>
      <c r="C18" s="252" t="s">
        <v>612</v>
      </c>
      <c r="D18" s="252" t="s">
        <v>612</v>
      </c>
      <c r="E18" s="252" t="s">
        <v>612</v>
      </c>
      <c r="F18" s="252" t="s">
        <v>612</v>
      </c>
      <c r="G18" s="252" t="s">
        <v>612</v>
      </c>
      <c r="H18" s="252" t="s">
        <v>612</v>
      </c>
      <c r="I18" s="252" t="s">
        <v>612</v>
      </c>
      <c r="J18" s="252" t="s">
        <v>612</v>
      </c>
      <c r="K18" s="676"/>
    </row>
    <row r="19" spans="1:11" ht="15">
      <c r="A19" s="260">
        <v>11</v>
      </c>
      <c r="B19" s="586" t="s">
        <v>900</v>
      </c>
      <c r="C19" s="252" t="s">
        <v>612</v>
      </c>
      <c r="D19" s="252" t="s">
        <v>612</v>
      </c>
      <c r="E19" s="252" t="s">
        <v>612</v>
      </c>
      <c r="F19" s="252" t="s">
        <v>612</v>
      </c>
      <c r="G19" s="252" t="s">
        <v>612</v>
      </c>
      <c r="H19" s="252" t="s">
        <v>612</v>
      </c>
      <c r="I19" s="252" t="s">
        <v>612</v>
      </c>
      <c r="J19" s="252" t="s">
        <v>612</v>
      </c>
      <c r="K19" s="674"/>
    </row>
    <row r="20" spans="1:11" ht="15">
      <c r="A20" s="260">
        <v>12</v>
      </c>
      <c r="B20" s="586" t="s">
        <v>731</v>
      </c>
      <c r="C20" s="252" t="s">
        <v>612</v>
      </c>
      <c r="D20" s="252" t="s">
        <v>612</v>
      </c>
      <c r="E20" s="252" t="s">
        <v>612</v>
      </c>
      <c r="F20" s="252" t="s">
        <v>612</v>
      </c>
      <c r="G20" s="252" t="s">
        <v>612</v>
      </c>
      <c r="H20" s="252" t="s">
        <v>612</v>
      </c>
      <c r="I20" s="252" t="s">
        <v>612</v>
      </c>
      <c r="J20" s="252" t="s">
        <v>612</v>
      </c>
      <c r="K20" s="676"/>
    </row>
    <row r="21" spans="1:11" ht="15">
      <c r="A21" s="260">
        <v>13</v>
      </c>
      <c r="B21" s="586" t="s">
        <v>742</v>
      </c>
      <c r="C21" s="252" t="s">
        <v>612</v>
      </c>
      <c r="D21" s="252" t="s">
        <v>612</v>
      </c>
      <c r="E21" s="252" t="s">
        <v>612</v>
      </c>
      <c r="F21" s="252" t="s">
        <v>612</v>
      </c>
      <c r="G21" s="252" t="s">
        <v>612</v>
      </c>
      <c r="H21" s="252" t="s">
        <v>612</v>
      </c>
      <c r="I21" s="252" t="s">
        <v>612</v>
      </c>
      <c r="J21" s="252" t="s">
        <v>612</v>
      </c>
      <c r="K21" s="252"/>
    </row>
    <row r="22" spans="1:11" ht="15">
      <c r="A22" s="260">
        <v>14</v>
      </c>
      <c r="B22" s="586" t="s">
        <v>740</v>
      </c>
      <c r="C22" s="252" t="s">
        <v>612</v>
      </c>
      <c r="D22" s="252" t="s">
        <v>612</v>
      </c>
      <c r="E22" s="252" t="s">
        <v>612</v>
      </c>
      <c r="F22" s="252" t="s">
        <v>612</v>
      </c>
      <c r="G22" s="252" t="s">
        <v>612</v>
      </c>
      <c r="H22" s="252" t="s">
        <v>612</v>
      </c>
      <c r="I22" s="252" t="s">
        <v>612</v>
      </c>
      <c r="J22" s="252" t="s">
        <v>612</v>
      </c>
      <c r="K22" s="252"/>
    </row>
    <row r="23" spans="1:11" ht="15">
      <c r="A23" s="260">
        <v>15</v>
      </c>
      <c r="B23" s="586" t="s">
        <v>734</v>
      </c>
      <c r="C23" s="252" t="s">
        <v>612</v>
      </c>
      <c r="D23" s="252" t="s">
        <v>612</v>
      </c>
      <c r="E23" s="252" t="s">
        <v>612</v>
      </c>
      <c r="F23" s="252" t="s">
        <v>612</v>
      </c>
      <c r="G23" s="252" t="s">
        <v>612</v>
      </c>
      <c r="H23" s="252" t="s">
        <v>612</v>
      </c>
      <c r="I23" s="252" t="s">
        <v>612</v>
      </c>
      <c r="J23" s="252" t="s">
        <v>612</v>
      </c>
      <c r="K23" s="675"/>
    </row>
    <row r="24" spans="1:11" ht="15">
      <c r="A24" s="260">
        <v>16</v>
      </c>
      <c r="B24" s="586" t="s">
        <v>741</v>
      </c>
      <c r="C24" s="252" t="s">
        <v>612</v>
      </c>
      <c r="D24" s="252" t="s">
        <v>612</v>
      </c>
      <c r="E24" s="252" t="s">
        <v>612</v>
      </c>
      <c r="F24" s="252" t="s">
        <v>612</v>
      </c>
      <c r="G24" s="252" t="s">
        <v>612</v>
      </c>
      <c r="H24" s="252" t="s">
        <v>612</v>
      </c>
      <c r="I24" s="252" t="s">
        <v>612</v>
      </c>
      <c r="J24" s="252" t="s">
        <v>612</v>
      </c>
      <c r="K24" s="675"/>
    </row>
    <row r="25" spans="1:11" ht="15">
      <c r="A25" s="260">
        <v>17</v>
      </c>
      <c r="B25" s="586" t="s">
        <v>733</v>
      </c>
      <c r="C25" s="252" t="s">
        <v>612</v>
      </c>
      <c r="D25" s="252" t="s">
        <v>612</v>
      </c>
      <c r="E25" s="252" t="s">
        <v>612</v>
      </c>
      <c r="F25" s="252" t="s">
        <v>612</v>
      </c>
      <c r="G25" s="252" t="s">
        <v>612</v>
      </c>
      <c r="H25" s="252" t="s">
        <v>612</v>
      </c>
      <c r="I25" s="252" t="s">
        <v>612</v>
      </c>
      <c r="J25" s="252" t="s">
        <v>612</v>
      </c>
      <c r="K25" s="194"/>
    </row>
    <row r="26" spans="1:11" ht="15">
      <c r="A26" s="260">
        <v>18</v>
      </c>
      <c r="B26" s="586" t="s">
        <v>735</v>
      </c>
      <c r="C26" s="252" t="s">
        <v>612</v>
      </c>
      <c r="D26" s="252" t="s">
        <v>612</v>
      </c>
      <c r="E26" s="252" t="s">
        <v>612</v>
      </c>
      <c r="F26" s="252" t="s">
        <v>612</v>
      </c>
      <c r="G26" s="252" t="s">
        <v>612</v>
      </c>
      <c r="H26" s="252" t="s">
        <v>612</v>
      </c>
      <c r="I26" s="252" t="s">
        <v>612</v>
      </c>
      <c r="J26" s="252" t="s">
        <v>612</v>
      </c>
      <c r="K26" s="675"/>
    </row>
    <row r="27" spans="1:11" ht="15">
      <c r="A27" s="260">
        <v>19</v>
      </c>
      <c r="B27" s="586" t="s">
        <v>732</v>
      </c>
      <c r="C27" s="252" t="s">
        <v>612</v>
      </c>
      <c r="D27" s="252" t="s">
        <v>612</v>
      </c>
      <c r="E27" s="252" t="s">
        <v>612</v>
      </c>
      <c r="F27" s="252" t="s">
        <v>612</v>
      </c>
      <c r="G27" s="252" t="s">
        <v>612</v>
      </c>
      <c r="H27" s="252" t="s">
        <v>612</v>
      </c>
      <c r="I27" s="252" t="s">
        <v>612</v>
      </c>
      <c r="J27" s="252" t="s">
        <v>612</v>
      </c>
      <c r="K27" s="194"/>
    </row>
    <row r="28" spans="1:11" ht="15">
      <c r="A28" s="260">
        <v>20</v>
      </c>
      <c r="B28" s="586" t="s">
        <v>836</v>
      </c>
      <c r="C28" s="252" t="s">
        <v>612</v>
      </c>
      <c r="D28" s="252" t="s">
        <v>612</v>
      </c>
      <c r="E28" s="252" t="s">
        <v>612</v>
      </c>
      <c r="F28" s="252" t="s">
        <v>612</v>
      </c>
      <c r="G28" s="252" t="s">
        <v>612</v>
      </c>
      <c r="H28" s="252" t="s">
        <v>612</v>
      </c>
      <c r="I28" s="252" t="s">
        <v>612</v>
      </c>
      <c r="J28" s="252" t="s">
        <v>612</v>
      </c>
      <c r="K28" s="675"/>
    </row>
    <row r="29" spans="1:11" ht="15">
      <c r="A29" s="260">
        <v>21</v>
      </c>
      <c r="B29" s="586" t="s">
        <v>729</v>
      </c>
      <c r="C29" s="252" t="s">
        <v>612</v>
      </c>
      <c r="D29" s="252" t="s">
        <v>612</v>
      </c>
      <c r="E29" s="252" t="s">
        <v>612</v>
      </c>
      <c r="F29" s="252" t="s">
        <v>612</v>
      </c>
      <c r="G29" s="252" t="s">
        <v>612</v>
      </c>
      <c r="H29" s="252" t="s">
        <v>612</v>
      </c>
      <c r="I29" s="252" t="s">
        <v>612</v>
      </c>
      <c r="J29" s="252" t="s">
        <v>612</v>
      </c>
      <c r="K29" s="194"/>
    </row>
    <row r="30" spans="1:11" ht="15">
      <c r="A30" s="260">
        <v>22</v>
      </c>
      <c r="B30" s="586" t="s">
        <v>746</v>
      </c>
      <c r="C30" s="252" t="s">
        <v>612</v>
      </c>
      <c r="D30" s="252" t="s">
        <v>612</v>
      </c>
      <c r="E30" s="252" t="s">
        <v>612</v>
      </c>
      <c r="F30" s="252" t="s">
        <v>612</v>
      </c>
      <c r="G30" s="252" t="s">
        <v>612</v>
      </c>
      <c r="H30" s="252" t="s">
        <v>612</v>
      </c>
      <c r="I30" s="252" t="s">
        <v>612</v>
      </c>
      <c r="J30" s="252" t="s">
        <v>612</v>
      </c>
      <c r="K30" s="194"/>
    </row>
    <row r="31" spans="1:13" ht="15">
      <c r="A31" s="260">
        <v>23</v>
      </c>
      <c r="B31" s="586" t="s">
        <v>738</v>
      </c>
      <c r="C31" s="252" t="s">
        <v>612</v>
      </c>
      <c r="D31" s="252" t="s">
        <v>612</v>
      </c>
      <c r="E31" s="252" t="s">
        <v>612</v>
      </c>
      <c r="F31" s="252" t="s">
        <v>612</v>
      </c>
      <c r="G31" s="252" t="s">
        <v>612</v>
      </c>
      <c r="H31" s="252" t="s">
        <v>612</v>
      </c>
      <c r="I31" s="252" t="s">
        <v>612</v>
      </c>
      <c r="J31" s="252" t="s">
        <v>612</v>
      </c>
      <c r="K31" s="675"/>
      <c r="M31" t="s">
        <v>11</v>
      </c>
    </row>
    <row r="32" spans="1:11" ht="15">
      <c r="A32" s="260">
        <v>24</v>
      </c>
      <c r="B32" s="586" t="s">
        <v>730</v>
      </c>
      <c r="C32" s="252" t="s">
        <v>612</v>
      </c>
      <c r="D32" s="252" t="s">
        <v>612</v>
      </c>
      <c r="E32" s="252" t="s">
        <v>612</v>
      </c>
      <c r="F32" s="252" t="s">
        <v>612</v>
      </c>
      <c r="G32" s="252" t="s">
        <v>612</v>
      </c>
      <c r="H32" s="252" t="s">
        <v>612</v>
      </c>
      <c r="I32" s="252" t="s">
        <v>612</v>
      </c>
      <c r="J32" s="252" t="s">
        <v>612</v>
      </c>
      <c r="K32" s="675"/>
    </row>
    <row r="33" spans="1:11" ht="15">
      <c r="A33" s="260">
        <v>25</v>
      </c>
      <c r="B33" s="586" t="s">
        <v>736</v>
      </c>
      <c r="C33" s="252" t="s">
        <v>612</v>
      </c>
      <c r="D33" s="252" t="s">
        <v>612</v>
      </c>
      <c r="E33" s="252" t="s">
        <v>612</v>
      </c>
      <c r="F33" s="252" t="s">
        <v>612</v>
      </c>
      <c r="G33" s="252" t="s">
        <v>612</v>
      </c>
      <c r="H33" s="252" t="s">
        <v>612</v>
      </c>
      <c r="I33" s="252" t="s">
        <v>612</v>
      </c>
      <c r="J33" s="252" t="s">
        <v>612</v>
      </c>
      <c r="K33" s="675"/>
    </row>
    <row r="34" spans="1:11" ht="15">
      <c r="A34" s="260">
        <v>26</v>
      </c>
      <c r="B34" s="586" t="s">
        <v>744</v>
      </c>
      <c r="C34" s="252" t="s">
        <v>612</v>
      </c>
      <c r="D34" s="252" t="s">
        <v>612</v>
      </c>
      <c r="E34" s="252" t="s">
        <v>612</v>
      </c>
      <c r="F34" s="252" t="s">
        <v>612</v>
      </c>
      <c r="G34" s="252" t="s">
        <v>612</v>
      </c>
      <c r="H34" s="252" t="s">
        <v>612</v>
      </c>
      <c r="I34" s="252" t="s">
        <v>612</v>
      </c>
      <c r="J34" s="252" t="s">
        <v>612</v>
      </c>
      <c r="K34" s="675"/>
    </row>
    <row r="35" spans="1:11" ht="15">
      <c r="A35" s="262">
        <v>27</v>
      </c>
      <c r="B35" s="586" t="s">
        <v>745</v>
      </c>
      <c r="C35" s="252" t="s">
        <v>612</v>
      </c>
      <c r="D35" s="252" t="s">
        <v>612</v>
      </c>
      <c r="E35" s="252" t="s">
        <v>612</v>
      </c>
      <c r="F35" s="252" t="s">
        <v>612</v>
      </c>
      <c r="G35" s="252" t="s">
        <v>612</v>
      </c>
      <c r="H35" s="252" t="s">
        <v>612</v>
      </c>
      <c r="I35" s="252" t="s">
        <v>612</v>
      </c>
      <c r="J35" s="252" t="s">
        <v>612</v>
      </c>
      <c r="K35" s="194"/>
    </row>
    <row r="36" spans="1:11" ht="15">
      <c r="A36" s="29" t="s">
        <v>19</v>
      </c>
      <c r="B36" s="9"/>
      <c r="C36" s="252" t="s">
        <v>612</v>
      </c>
      <c r="D36" s="252" t="s">
        <v>612</v>
      </c>
      <c r="E36" s="252" t="s">
        <v>612</v>
      </c>
      <c r="F36" s="252" t="s">
        <v>612</v>
      </c>
      <c r="G36" s="252" t="s">
        <v>612</v>
      </c>
      <c r="H36" s="252" t="s">
        <v>612</v>
      </c>
      <c r="I36" s="252" t="s">
        <v>612</v>
      </c>
      <c r="J36" s="252" t="s">
        <v>612</v>
      </c>
      <c r="K36" s="9"/>
    </row>
    <row r="39" spans="1:6" ht="12.75" customHeight="1">
      <c r="A39" s="394"/>
      <c r="B39" s="394"/>
      <c r="C39" s="394"/>
      <c r="D39" s="394"/>
      <c r="E39" s="394"/>
      <c r="F39" s="394"/>
    </row>
    <row r="40" spans="1:11" ht="12.75" customHeight="1">
      <c r="A40" s="394" t="s">
        <v>12</v>
      </c>
      <c r="B40" s="394"/>
      <c r="C40" s="394"/>
      <c r="D40" s="394"/>
      <c r="E40" s="394"/>
      <c r="F40" s="394"/>
      <c r="G40" s="1035" t="s">
        <v>13</v>
      </c>
      <c r="H40" s="1035"/>
      <c r="I40" s="1035"/>
      <c r="J40" s="1035"/>
      <c r="K40" s="1035"/>
    </row>
    <row r="41" spans="1:11" ht="12.75" customHeight="1">
      <c r="A41" s="394"/>
      <c r="B41" s="394"/>
      <c r="C41" s="394"/>
      <c r="D41" s="394"/>
      <c r="E41" s="394"/>
      <c r="F41" s="394"/>
      <c r="G41" s="1035" t="s">
        <v>14</v>
      </c>
      <c r="H41" s="1035"/>
      <c r="I41" s="1035"/>
      <c r="J41" s="1035"/>
      <c r="K41" s="1035"/>
    </row>
    <row r="42" spans="6:10" ht="12.75" customHeight="1">
      <c r="F42" s="394"/>
      <c r="H42" s="395" t="s">
        <v>662</v>
      </c>
      <c r="I42" s="395"/>
      <c r="J42" s="395"/>
    </row>
    <row r="43" spans="8:10" ht="12.75">
      <c r="H43" s="396" t="s">
        <v>84</v>
      </c>
      <c r="I43" s="396"/>
      <c r="J43" s="396"/>
    </row>
  </sheetData>
  <sheetProtection/>
  <mergeCells count="12">
    <mergeCell ref="I6:I7"/>
    <mergeCell ref="J6:J7"/>
    <mergeCell ref="K6:K7"/>
    <mergeCell ref="G40:K40"/>
    <mergeCell ref="G41:K41"/>
    <mergeCell ref="A1:H1"/>
    <mergeCell ref="A2:H2"/>
    <mergeCell ref="A4:H4"/>
    <mergeCell ref="A6:A7"/>
    <mergeCell ref="B6:B7"/>
    <mergeCell ref="C6:E6"/>
    <mergeCell ref="F6:H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1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L49"/>
  <sheetViews>
    <sheetView view="pageBreakPreview" zoomScale="73" zoomScaleNormal="86" zoomScaleSheetLayoutView="73" zoomScalePageLayoutView="0" workbookViewId="0" topLeftCell="A23">
      <selection activeCell="M13" sqref="M1:R16384"/>
    </sheetView>
  </sheetViews>
  <sheetFormatPr defaultColWidth="9.140625" defaultRowHeight="12.75"/>
  <cols>
    <col min="1" max="1" width="9.421875" style="456" customWidth="1"/>
    <col min="2" max="2" width="21.28125" style="456" customWidth="1"/>
    <col min="3" max="4" width="12.7109375" style="456" customWidth="1"/>
    <col min="5" max="5" width="14.421875" style="456" customWidth="1"/>
    <col min="6" max="6" width="17.57421875" style="456" customWidth="1"/>
    <col min="7" max="7" width="14.140625" style="456" customWidth="1"/>
    <col min="8" max="8" width="17.7109375" style="456" customWidth="1"/>
    <col min="9" max="9" width="13.00390625" style="456" customWidth="1"/>
    <col min="10" max="10" width="18.140625" style="456" customWidth="1"/>
    <col min="11" max="11" width="11.28125" style="456" customWidth="1"/>
    <col min="12" max="12" width="19.28125" style="456" customWidth="1"/>
    <col min="13" max="16384" width="9.140625" style="456" customWidth="1"/>
  </cols>
  <sheetData>
    <row r="1" spans="1:12" ht="15">
      <c r="A1" s="455"/>
      <c r="B1" s="455"/>
      <c r="C1" s="455"/>
      <c r="D1" s="455"/>
      <c r="E1" s="455"/>
      <c r="F1" s="455"/>
      <c r="G1" s="455"/>
      <c r="H1" s="455"/>
      <c r="K1" s="711" t="s">
        <v>87</v>
      </c>
      <c r="L1" s="711"/>
    </row>
    <row r="2" spans="1:12" ht="15.75">
      <c r="A2" s="1088" t="s">
        <v>0</v>
      </c>
      <c r="B2" s="1088"/>
      <c r="C2" s="1088"/>
      <c r="D2" s="124"/>
      <c r="E2" s="124"/>
      <c r="F2" s="124"/>
      <c r="G2" s="124"/>
      <c r="H2" s="124"/>
      <c r="I2" s="455"/>
      <c r="J2" s="455"/>
      <c r="K2" s="455"/>
      <c r="L2" s="455"/>
    </row>
    <row r="3" spans="1:12" ht="15.75">
      <c r="A3" s="1088" t="s">
        <v>859</v>
      </c>
      <c r="B3" s="1088"/>
      <c r="C3" s="1088"/>
      <c r="D3" s="1088"/>
      <c r="E3" s="124"/>
      <c r="F3" s="124"/>
      <c r="G3" s="124"/>
      <c r="H3" s="124"/>
      <c r="I3" s="455"/>
      <c r="J3" s="455"/>
      <c r="K3" s="455"/>
      <c r="L3" s="455"/>
    </row>
    <row r="4" spans="1:12" ht="15">
      <c r="A4" s="455"/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</row>
    <row r="5" spans="1:12" ht="15.75">
      <c r="A5" s="721" t="s">
        <v>980</v>
      </c>
      <c r="B5" s="721"/>
      <c r="C5" s="721"/>
      <c r="D5" s="721"/>
      <c r="E5" s="721"/>
      <c r="F5" s="721"/>
      <c r="G5" s="88"/>
      <c r="H5" s="88"/>
      <c r="I5" s="88"/>
      <c r="J5" s="88"/>
      <c r="K5" s="88"/>
      <c r="L5" s="88"/>
    </row>
    <row r="6" spans="1:12" ht="15">
      <c r="A6" s="455"/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</row>
    <row r="7" spans="1:12" ht="15.75">
      <c r="A7" s="712" t="s">
        <v>752</v>
      </c>
      <c r="B7" s="712"/>
      <c r="C7" s="455"/>
      <c r="D7" s="455"/>
      <c r="E7" s="455"/>
      <c r="F7" s="455"/>
      <c r="G7" s="455"/>
      <c r="H7" s="457"/>
      <c r="I7" s="455"/>
      <c r="J7" s="455"/>
      <c r="K7" s="455"/>
      <c r="L7" s="455"/>
    </row>
    <row r="8" spans="1:12" ht="15.75">
      <c r="A8" s="97"/>
      <c r="B8" s="97"/>
      <c r="C8" s="455"/>
      <c r="D8" s="455"/>
      <c r="E8" s="455"/>
      <c r="F8" s="455"/>
      <c r="G8" s="455"/>
      <c r="H8" s="455"/>
      <c r="I8" s="458"/>
      <c r="J8" s="1087" t="s">
        <v>906</v>
      </c>
      <c r="K8" s="1087"/>
      <c r="L8" s="1087"/>
    </row>
    <row r="9" spans="1:12" ht="34.5" customHeight="1">
      <c r="A9" s="1093" t="s">
        <v>237</v>
      </c>
      <c r="B9" s="1093" t="s">
        <v>236</v>
      </c>
      <c r="C9" s="1095" t="s">
        <v>493</v>
      </c>
      <c r="D9" s="1095" t="s">
        <v>494</v>
      </c>
      <c r="E9" s="1089" t="s">
        <v>495</v>
      </c>
      <c r="F9" s="1090"/>
      <c r="G9" s="1089" t="s">
        <v>452</v>
      </c>
      <c r="H9" s="1090"/>
      <c r="I9" s="1089" t="s">
        <v>248</v>
      </c>
      <c r="J9" s="1090"/>
      <c r="K9" s="1091" t="s">
        <v>252</v>
      </c>
      <c r="L9" s="1092"/>
    </row>
    <row r="10" spans="1:12" ht="36.75" customHeight="1">
      <c r="A10" s="1094"/>
      <c r="B10" s="1094"/>
      <c r="C10" s="1096"/>
      <c r="D10" s="1096"/>
      <c r="E10" s="714" t="s">
        <v>235</v>
      </c>
      <c r="F10" s="714" t="s">
        <v>216</v>
      </c>
      <c r="G10" s="714" t="s">
        <v>235</v>
      </c>
      <c r="H10" s="714" t="s">
        <v>216</v>
      </c>
      <c r="I10" s="714" t="s">
        <v>235</v>
      </c>
      <c r="J10" s="714" t="s">
        <v>216</v>
      </c>
      <c r="K10" s="714" t="s">
        <v>235</v>
      </c>
      <c r="L10" s="714" t="s">
        <v>216</v>
      </c>
    </row>
    <row r="11" spans="1:12" s="459" customFormat="1" ht="15.75">
      <c r="A11" s="564">
        <v>1</v>
      </c>
      <c r="B11" s="564">
        <v>2</v>
      </c>
      <c r="C11" s="564">
        <v>3</v>
      </c>
      <c r="D11" s="564">
        <v>4</v>
      </c>
      <c r="E11" s="564">
        <v>5</v>
      </c>
      <c r="F11" s="564">
        <v>6</v>
      </c>
      <c r="G11" s="564">
        <v>7</v>
      </c>
      <c r="H11" s="564">
        <v>8</v>
      </c>
      <c r="I11" s="564">
        <v>9</v>
      </c>
      <c r="J11" s="564">
        <v>10</v>
      </c>
      <c r="K11" s="564">
        <v>11</v>
      </c>
      <c r="L11" s="564">
        <v>12</v>
      </c>
    </row>
    <row r="12" spans="1:12" s="460" customFormat="1" ht="18.75">
      <c r="A12" s="262">
        <v>1</v>
      </c>
      <c r="B12" s="722" t="s">
        <v>841</v>
      </c>
      <c r="C12" s="678">
        <v>1951</v>
      </c>
      <c r="D12" s="678">
        <v>101234</v>
      </c>
      <c r="E12" s="678">
        <f>C12</f>
        <v>1951</v>
      </c>
      <c r="F12" s="678">
        <f>D12</f>
        <v>101234</v>
      </c>
      <c r="G12" s="679">
        <f>'AT3C_cvrg(Insti)_UPY '!G11</f>
        <v>564</v>
      </c>
      <c r="H12" s="679">
        <v>38645</v>
      </c>
      <c r="I12" s="678">
        <f>'AT-3'!H9</f>
        <v>1976</v>
      </c>
      <c r="J12" s="724">
        <v>90744</v>
      </c>
      <c r="K12" s="724">
        <v>17</v>
      </c>
      <c r="L12" s="724">
        <v>19</v>
      </c>
    </row>
    <row r="13" spans="1:12" s="460" customFormat="1" ht="18.75">
      <c r="A13" s="260">
        <v>2</v>
      </c>
      <c r="B13" s="722" t="s">
        <v>833</v>
      </c>
      <c r="C13" s="678">
        <v>1945</v>
      </c>
      <c r="D13" s="678">
        <v>115001</v>
      </c>
      <c r="E13" s="678">
        <f aca="true" t="shared" si="0" ref="E13:E38">C13</f>
        <v>1945</v>
      </c>
      <c r="F13" s="678">
        <f aca="true" t="shared" si="1" ref="F13:F38">D13</f>
        <v>115001</v>
      </c>
      <c r="G13" s="679">
        <f>'AT3C_cvrg(Insti)_UPY '!G12</f>
        <v>570</v>
      </c>
      <c r="H13" s="679">
        <v>62450</v>
      </c>
      <c r="I13" s="678">
        <f>'AT-3'!H10</f>
        <v>1965</v>
      </c>
      <c r="J13" s="724">
        <v>111471</v>
      </c>
      <c r="K13" s="724">
        <v>323</v>
      </c>
      <c r="L13" s="724">
        <v>893</v>
      </c>
    </row>
    <row r="14" spans="1:12" s="460" customFormat="1" ht="18.75">
      <c r="A14" s="260">
        <v>3</v>
      </c>
      <c r="B14" s="722" t="s">
        <v>839</v>
      </c>
      <c r="C14" s="678">
        <v>1930</v>
      </c>
      <c r="D14" s="678">
        <v>96954</v>
      </c>
      <c r="E14" s="678">
        <f t="shared" si="0"/>
        <v>1930</v>
      </c>
      <c r="F14" s="678">
        <f t="shared" si="1"/>
        <v>96954</v>
      </c>
      <c r="G14" s="679">
        <f>'AT3C_cvrg(Insti)_UPY '!G13</f>
        <v>575</v>
      </c>
      <c r="H14" s="679">
        <v>53648</v>
      </c>
      <c r="I14" s="678">
        <f>'AT-3'!H11</f>
        <v>1935</v>
      </c>
      <c r="J14" s="724">
        <v>86938</v>
      </c>
      <c r="K14" s="724">
        <v>394</v>
      </c>
      <c r="L14" s="724">
        <v>1123</v>
      </c>
    </row>
    <row r="15" spans="1:12" s="460" customFormat="1" ht="18.75">
      <c r="A15" s="260">
        <v>4</v>
      </c>
      <c r="B15" s="722" t="s">
        <v>743</v>
      </c>
      <c r="C15" s="678">
        <v>2499</v>
      </c>
      <c r="D15" s="678">
        <v>247025</v>
      </c>
      <c r="E15" s="678">
        <f t="shared" si="0"/>
        <v>2499</v>
      </c>
      <c r="F15" s="678">
        <f t="shared" si="1"/>
        <v>247025</v>
      </c>
      <c r="G15" s="679">
        <f>'AT3C_cvrg(Insti)_UPY '!G14</f>
        <v>785</v>
      </c>
      <c r="H15" s="679">
        <v>66279</v>
      </c>
      <c r="I15" s="678">
        <f>'AT-3'!H12</f>
        <v>2503</v>
      </c>
      <c r="J15" s="724">
        <v>177254</v>
      </c>
      <c r="K15" s="724">
        <v>732</v>
      </c>
      <c r="L15" s="724">
        <v>2582</v>
      </c>
    </row>
    <row r="16" spans="1:12" s="460" customFormat="1" ht="18.75">
      <c r="A16" s="260">
        <v>5</v>
      </c>
      <c r="B16" s="722" t="s">
        <v>748</v>
      </c>
      <c r="C16" s="678">
        <v>2900</v>
      </c>
      <c r="D16" s="678">
        <v>148678</v>
      </c>
      <c r="E16" s="678">
        <f t="shared" si="0"/>
        <v>2900</v>
      </c>
      <c r="F16" s="678">
        <f t="shared" si="1"/>
        <v>148678</v>
      </c>
      <c r="G16" s="679">
        <f>'AT3C_cvrg(Insti)_UPY '!G15</f>
        <v>919</v>
      </c>
      <c r="H16" s="679">
        <v>79732</v>
      </c>
      <c r="I16" s="678">
        <f>'AT-3'!H13</f>
        <v>2904</v>
      </c>
      <c r="J16" s="724">
        <v>127881</v>
      </c>
      <c r="K16" s="724">
        <v>906</v>
      </c>
      <c r="L16" s="724">
        <v>1813</v>
      </c>
    </row>
    <row r="17" spans="1:12" s="460" customFormat="1" ht="18.75">
      <c r="A17" s="260">
        <v>6</v>
      </c>
      <c r="B17" s="722" t="s">
        <v>747</v>
      </c>
      <c r="C17" s="678">
        <v>2647</v>
      </c>
      <c r="D17" s="678">
        <v>188845</v>
      </c>
      <c r="E17" s="678">
        <f t="shared" si="0"/>
        <v>2647</v>
      </c>
      <c r="F17" s="678">
        <f t="shared" si="1"/>
        <v>188845</v>
      </c>
      <c r="G17" s="679">
        <f>'AT3C_cvrg(Insti)_UPY '!G16</f>
        <v>795</v>
      </c>
      <c r="H17" s="679">
        <v>92863</v>
      </c>
      <c r="I17" s="678">
        <f>'AT-3'!H14</f>
        <v>2657</v>
      </c>
      <c r="J17" s="724">
        <v>175106</v>
      </c>
      <c r="K17" s="724">
        <v>786</v>
      </c>
      <c r="L17" s="724">
        <v>1535</v>
      </c>
    </row>
    <row r="18" spans="1:12" s="460" customFormat="1" ht="18.75">
      <c r="A18" s="260">
        <v>7</v>
      </c>
      <c r="B18" s="722" t="s">
        <v>737</v>
      </c>
      <c r="C18" s="678">
        <v>867</v>
      </c>
      <c r="D18" s="678">
        <v>111056</v>
      </c>
      <c r="E18" s="678">
        <f t="shared" si="0"/>
        <v>867</v>
      </c>
      <c r="F18" s="678">
        <f t="shared" si="1"/>
        <v>111056</v>
      </c>
      <c r="G18" s="679">
        <f>'AT3C_cvrg(Insti)_UPY '!G17</f>
        <v>360</v>
      </c>
      <c r="H18" s="679">
        <v>86438</v>
      </c>
      <c r="I18" s="678">
        <f>'AT-3'!H15</f>
        <v>969</v>
      </c>
      <c r="J18" s="724">
        <v>108180</v>
      </c>
      <c r="K18" s="724">
        <v>319</v>
      </c>
      <c r="L18" s="724">
        <v>2360</v>
      </c>
    </row>
    <row r="19" spans="1:12" s="460" customFormat="1" ht="18.75">
      <c r="A19" s="260">
        <v>8</v>
      </c>
      <c r="B19" s="722" t="s">
        <v>749</v>
      </c>
      <c r="C19" s="678">
        <v>1274</v>
      </c>
      <c r="D19" s="678">
        <v>177123</v>
      </c>
      <c r="E19" s="678">
        <f t="shared" si="0"/>
        <v>1274</v>
      </c>
      <c r="F19" s="678">
        <f t="shared" si="1"/>
        <v>177123</v>
      </c>
      <c r="G19" s="679">
        <f>'AT3C_cvrg(Insti)_UPY '!G18</f>
        <v>481</v>
      </c>
      <c r="H19" s="679">
        <v>43810</v>
      </c>
      <c r="I19" s="678">
        <f>'AT-3'!H16</f>
        <v>1280</v>
      </c>
      <c r="J19" s="724">
        <v>148408</v>
      </c>
      <c r="K19" s="724">
        <v>826</v>
      </c>
      <c r="L19" s="724">
        <v>2929</v>
      </c>
    </row>
    <row r="20" spans="1:12" s="460" customFormat="1" ht="18.75">
      <c r="A20" s="260">
        <v>9</v>
      </c>
      <c r="B20" s="722" t="s">
        <v>834</v>
      </c>
      <c r="C20" s="678">
        <v>2013</v>
      </c>
      <c r="D20" s="678">
        <v>101234</v>
      </c>
      <c r="E20" s="678">
        <f t="shared" si="0"/>
        <v>2013</v>
      </c>
      <c r="F20" s="678">
        <f t="shared" si="1"/>
        <v>101234</v>
      </c>
      <c r="G20" s="679">
        <f>'AT3C_cvrg(Insti)_UPY '!G19</f>
        <v>647</v>
      </c>
      <c r="H20" s="679">
        <v>27945</v>
      </c>
      <c r="I20" s="678">
        <f>'AT-3'!H17</f>
        <v>2192</v>
      </c>
      <c r="J20" s="724">
        <v>98499</v>
      </c>
      <c r="K20" s="724">
        <v>446</v>
      </c>
      <c r="L20" s="724">
        <v>827</v>
      </c>
    </row>
    <row r="21" spans="1:12" s="460" customFormat="1" ht="18.75">
      <c r="A21" s="260">
        <v>10</v>
      </c>
      <c r="B21" s="722" t="s">
        <v>739</v>
      </c>
      <c r="C21" s="678">
        <v>557</v>
      </c>
      <c r="D21" s="678">
        <v>22657</v>
      </c>
      <c r="E21" s="678">
        <f t="shared" si="0"/>
        <v>557</v>
      </c>
      <c r="F21" s="678">
        <f t="shared" si="1"/>
        <v>22657</v>
      </c>
      <c r="G21" s="679">
        <f>'AT3C_cvrg(Insti)_UPY '!G20</f>
        <v>143</v>
      </c>
      <c r="H21" s="679">
        <v>6514</v>
      </c>
      <c r="I21" s="678">
        <f>'AT-3'!H18</f>
        <v>567</v>
      </c>
      <c r="J21" s="724">
        <v>21648</v>
      </c>
      <c r="K21" s="724">
        <v>125</v>
      </c>
      <c r="L21" s="724">
        <v>960</v>
      </c>
    </row>
    <row r="22" spans="1:12" s="460" customFormat="1" ht="18.75">
      <c r="A22" s="260">
        <v>11</v>
      </c>
      <c r="B22" s="722" t="s">
        <v>840</v>
      </c>
      <c r="C22" s="678">
        <v>367</v>
      </c>
      <c r="D22" s="678">
        <v>19720</v>
      </c>
      <c r="E22" s="678">
        <f t="shared" si="0"/>
        <v>367</v>
      </c>
      <c r="F22" s="678">
        <f t="shared" si="1"/>
        <v>19720</v>
      </c>
      <c r="G22" s="679">
        <f>'AT3C_cvrg(Insti)_UPY '!G21</f>
        <v>217</v>
      </c>
      <c r="H22" s="679">
        <v>14409</v>
      </c>
      <c r="I22" s="678">
        <f>'AT-3'!H19</f>
        <v>983</v>
      </c>
      <c r="J22" s="724">
        <v>31316</v>
      </c>
      <c r="K22" s="724">
        <v>439</v>
      </c>
      <c r="L22" s="724">
        <v>1467</v>
      </c>
    </row>
    <row r="23" spans="1:12" s="460" customFormat="1" ht="18.75">
      <c r="A23" s="260">
        <v>12</v>
      </c>
      <c r="B23" s="722" t="s">
        <v>837</v>
      </c>
      <c r="C23" s="678">
        <v>1778</v>
      </c>
      <c r="D23" s="678">
        <v>84854</v>
      </c>
      <c r="E23" s="678">
        <f t="shared" si="0"/>
        <v>1778</v>
      </c>
      <c r="F23" s="678">
        <f t="shared" si="1"/>
        <v>84854</v>
      </c>
      <c r="G23" s="679">
        <f>'AT3C_cvrg(Insti)_UPY '!G22</f>
        <v>606</v>
      </c>
      <c r="H23" s="679">
        <v>27520</v>
      </c>
      <c r="I23" s="678">
        <f>'AT-3'!H20</f>
        <v>1835</v>
      </c>
      <c r="J23" s="724">
        <v>76895</v>
      </c>
      <c r="K23" s="724">
        <v>609</v>
      </c>
      <c r="L23" s="724">
        <v>1031</v>
      </c>
    </row>
    <row r="24" spans="1:12" s="460" customFormat="1" ht="18.75">
      <c r="A24" s="260">
        <v>13</v>
      </c>
      <c r="B24" s="722" t="s">
        <v>831</v>
      </c>
      <c r="C24" s="678">
        <v>1220</v>
      </c>
      <c r="D24" s="678">
        <v>83453</v>
      </c>
      <c r="E24" s="678">
        <f t="shared" si="0"/>
        <v>1220</v>
      </c>
      <c r="F24" s="678">
        <f t="shared" si="1"/>
        <v>83453</v>
      </c>
      <c r="G24" s="679">
        <f>'AT3C_cvrg(Insti)_UPY '!G23</f>
        <v>413</v>
      </c>
      <c r="H24" s="679">
        <v>29779</v>
      </c>
      <c r="I24" s="678">
        <f>'AT-3'!H21</f>
        <v>1239</v>
      </c>
      <c r="J24" s="724">
        <v>75400</v>
      </c>
      <c r="K24" s="724">
        <v>397</v>
      </c>
      <c r="L24" s="724">
        <v>733</v>
      </c>
    </row>
    <row r="25" spans="1:12" s="460" customFormat="1" ht="18.75">
      <c r="A25" s="260">
        <v>14</v>
      </c>
      <c r="B25" s="722" t="s">
        <v>740</v>
      </c>
      <c r="C25" s="678">
        <v>1126</v>
      </c>
      <c r="D25" s="678">
        <v>123128</v>
      </c>
      <c r="E25" s="678">
        <f t="shared" si="0"/>
        <v>1126</v>
      </c>
      <c r="F25" s="678">
        <f t="shared" si="1"/>
        <v>123128</v>
      </c>
      <c r="G25" s="679">
        <f>'AT3C_cvrg(Insti)_UPY '!G24</f>
        <v>388</v>
      </c>
      <c r="H25" s="679">
        <v>37027</v>
      </c>
      <c r="I25" s="678">
        <f>'AT-3'!H22</f>
        <v>1133</v>
      </c>
      <c r="J25" s="724">
        <v>116678</v>
      </c>
      <c r="K25" s="724">
        <v>150</v>
      </c>
      <c r="L25" s="724">
        <v>393</v>
      </c>
    </row>
    <row r="26" spans="1:12" s="461" customFormat="1" ht="18.75">
      <c r="A26" s="260">
        <v>15</v>
      </c>
      <c r="B26" s="722" t="s">
        <v>835</v>
      </c>
      <c r="C26" s="678">
        <v>1321</v>
      </c>
      <c r="D26" s="678">
        <v>79556</v>
      </c>
      <c r="E26" s="678">
        <f t="shared" si="0"/>
        <v>1321</v>
      </c>
      <c r="F26" s="678">
        <f t="shared" si="1"/>
        <v>79556</v>
      </c>
      <c r="G26" s="679">
        <f>'AT3C_cvrg(Insti)_UPY '!G25</f>
        <v>450</v>
      </c>
      <c r="H26" s="679">
        <v>8846</v>
      </c>
      <c r="I26" s="678">
        <f>'AT-3'!H23</f>
        <v>1432</v>
      </c>
      <c r="J26" s="724">
        <v>71653</v>
      </c>
      <c r="K26" s="724">
        <v>349</v>
      </c>
      <c r="L26" s="724">
        <v>543</v>
      </c>
    </row>
    <row r="27" spans="1:12" s="461" customFormat="1" ht="18.75">
      <c r="A27" s="260">
        <v>16</v>
      </c>
      <c r="B27" s="722" t="s">
        <v>832</v>
      </c>
      <c r="C27" s="678">
        <v>1824</v>
      </c>
      <c r="D27" s="678">
        <v>190354</v>
      </c>
      <c r="E27" s="678">
        <f t="shared" si="0"/>
        <v>1824</v>
      </c>
      <c r="F27" s="678">
        <f t="shared" si="1"/>
        <v>190354</v>
      </c>
      <c r="G27" s="679">
        <f>'AT3C_cvrg(Insti)_UPY '!G26</f>
        <v>638</v>
      </c>
      <c r="H27" s="679">
        <v>93082</v>
      </c>
      <c r="I27" s="678">
        <f>'AT-3'!H24</f>
        <v>1830</v>
      </c>
      <c r="J27" s="724">
        <v>162283</v>
      </c>
      <c r="K27" s="724">
        <v>631</v>
      </c>
      <c r="L27" s="724">
        <v>1025</v>
      </c>
    </row>
    <row r="28" spans="1:12" s="461" customFormat="1" ht="18.75">
      <c r="A28" s="260">
        <v>17</v>
      </c>
      <c r="B28" s="722" t="s">
        <v>733</v>
      </c>
      <c r="C28" s="678">
        <v>1329</v>
      </c>
      <c r="D28" s="678">
        <v>69654</v>
      </c>
      <c r="E28" s="678">
        <f t="shared" si="0"/>
        <v>1329</v>
      </c>
      <c r="F28" s="678">
        <f t="shared" si="1"/>
        <v>69654</v>
      </c>
      <c r="G28" s="679">
        <f>'AT3C_cvrg(Insti)_UPY '!G27</f>
        <v>417</v>
      </c>
      <c r="H28" s="679">
        <v>12031</v>
      </c>
      <c r="I28" s="678">
        <f>'AT-3'!H25</f>
        <v>1383</v>
      </c>
      <c r="J28" s="724">
        <v>66650</v>
      </c>
      <c r="K28" s="724">
        <v>199</v>
      </c>
      <c r="L28" s="724">
        <v>621</v>
      </c>
    </row>
    <row r="29" spans="1:12" s="461" customFormat="1" ht="18.75">
      <c r="A29" s="260">
        <v>18</v>
      </c>
      <c r="B29" s="722" t="s">
        <v>735</v>
      </c>
      <c r="C29" s="678">
        <v>2331</v>
      </c>
      <c r="D29" s="678">
        <v>185643</v>
      </c>
      <c r="E29" s="678">
        <f t="shared" si="0"/>
        <v>2331</v>
      </c>
      <c r="F29" s="678">
        <f t="shared" si="1"/>
        <v>185643</v>
      </c>
      <c r="G29" s="679">
        <f>'AT3C_cvrg(Insti)_UPY '!G28</f>
        <v>790</v>
      </c>
      <c r="H29" s="679">
        <v>63290</v>
      </c>
      <c r="I29" s="678">
        <f>'AT-3'!H26</f>
        <v>2342</v>
      </c>
      <c r="J29" s="724">
        <v>142089</v>
      </c>
      <c r="K29" s="724">
        <v>722</v>
      </c>
      <c r="L29" s="724">
        <v>788</v>
      </c>
    </row>
    <row r="30" spans="1:12" s="461" customFormat="1" ht="18.75">
      <c r="A30" s="260">
        <v>19</v>
      </c>
      <c r="B30" s="722" t="s">
        <v>732</v>
      </c>
      <c r="C30" s="678">
        <v>2003</v>
      </c>
      <c r="D30" s="678">
        <v>127054</v>
      </c>
      <c r="E30" s="678">
        <f t="shared" si="0"/>
        <v>2003</v>
      </c>
      <c r="F30" s="678">
        <f t="shared" si="1"/>
        <v>127054</v>
      </c>
      <c r="G30" s="679">
        <f>'AT3C_cvrg(Insti)_UPY '!G29</f>
        <v>525</v>
      </c>
      <c r="H30" s="679">
        <v>84200</v>
      </c>
      <c r="I30" s="678">
        <f>'AT-3'!H27</f>
        <v>2020</v>
      </c>
      <c r="J30" s="724">
        <v>110764</v>
      </c>
      <c r="K30" s="724">
        <v>522</v>
      </c>
      <c r="L30" s="724">
        <v>1877</v>
      </c>
    </row>
    <row r="31" spans="1:12" s="461" customFormat="1" ht="18.75">
      <c r="A31" s="260">
        <v>20</v>
      </c>
      <c r="B31" s="722" t="s">
        <v>836</v>
      </c>
      <c r="C31" s="678">
        <v>2134</v>
      </c>
      <c r="D31" s="678">
        <v>104643</v>
      </c>
      <c r="E31" s="678">
        <f t="shared" si="0"/>
        <v>2134</v>
      </c>
      <c r="F31" s="678">
        <f t="shared" si="1"/>
        <v>104643</v>
      </c>
      <c r="G31" s="679">
        <f>'AT3C_cvrg(Insti)_UPY '!G30</f>
        <v>520</v>
      </c>
      <c r="H31" s="679">
        <v>46219</v>
      </c>
      <c r="I31" s="678">
        <f>'AT-3'!H28</f>
        <v>2266</v>
      </c>
      <c r="J31" s="724">
        <v>93906</v>
      </c>
      <c r="K31" s="724">
        <v>497</v>
      </c>
      <c r="L31" s="724">
        <v>1717</v>
      </c>
    </row>
    <row r="32" spans="1:12" s="461" customFormat="1" ht="18.75">
      <c r="A32" s="260">
        <v>21</v>
      </c>
      <c r="B32" s="722" t="s">
        <v>729</v>
      </c>
      <c r="C32" s="678">
        <v>1470</v>
      </c>
      <c r="D32" s="678">
        <v>129367</v>
      </c>
      <c r="E32" s="678">
        <f t="shared" si="0"/>
        <v>1470</v>
      </c>
      <c r="F32" s="678">
        <f t="shared" si="1"/>
        <v>129367</v>
      </c>
      <c r="G32" s="679">
        <f>'AT3C_cvrg(Insti)_UPY '!G31</f>
        <v>495</v>
      </c>
      <c r="H32" s="679">
        <v>24349</v>
      </c>
      <c r="I32" s="678">
        <f>'AT-3'!H29</f>
        <v>1480</v>
      </c>
      <c r="J32" s="724">
        <v>104280</v>
      </c>
      <c r="K32" s="724">
        <v>348</v>
      </c>
      <c r="L32" s="724">
        <v>840</v>
      </c>
    </row>
    <row r="33" spans="1:12" s="461" customFormat="1" ht="18.75">
      <c r="A33" s="260">
        <v>22</v>
      </c>
      <c r="B33" s="722" t="s">
        <v>746</v>
      </c>
      <c r="C33" s="678">
        <v>1803</v>
      </c>
      <c r="D33" s="678">
        <v>136145</v>
      </c>
      <c r="E33" s="678">
        <f t="shared" si="0"/>
        <v>1803</v>
      </c>
      <c r="F33" s="678">
        <f t="shared" si="1"/>
        <v>136145</v>
      </c>
      <c r="G33" s="679">
        <f>'AT3C_cvrg(Insti)_UPY '!G32</f>
        <v>501</v>
      </c>
      <c r="H33" s="679">
        <v>49594</v>
      </c>
      <c r="I33" s="678">
        <f>'AT-3'!H30</f>
        <v>1808</v>
      </c>
      <c r="J33" s="724">
        <v>99647</v>
      </c>
      <c r="K33" s="724">
        <v>518</v>
      </c>
      <c r="L33" s="724">
        <v>643</v>
      </c>
    </row>
    <row r="34" spans="1:12" s="461" customFormat="1" ht="18.75">
      <c r="A34" s="260">
        <v>23</v>
      </c>
      <c r="B34" s="722" t="s">
        <v>738</v>
      </c>
      <c r="C34" s="678">
        <v>1327</v>
      </c>
      <c r="D34" s="678">
        <v>81406</v>
      </c>
      <c r="E34" s="678">
        <f t="shared" si="0"/>
        <v>1327</v>
      </c>
      <c r="F34" s="678">
        <f t="shared" si="1"/>
        <v>81406</v>
      </c>
      <c r="G34" s="679">
        <f>'AT3C_cvrg(Insti)_UPY '!G33</f>
        <v>452</v>
      </c>
      <c r="H34" s="679">
        <v>51034</v>
      </c>
      <c r="I34" s="678">
        <f>'AT-3'!H31</f>
        <v>1336</v>
      </c>
      <c r="J34" s="724">
        <v>78928</v>
      </c>
      <c r="K34" s="724">
        <v>446</v>
      </c>
      <c r="L34" s="724">
        <v>1172</v>
      </c>
    </row>
    <row r="35" spans="1:12" s="461" customFormat="1" ht="18.75">
      <c r="A35" s="260">
        <v>24</v>
      </c>
      <c r="B35" s="722" t="s">
        <v>730</v>
      </c>
      <c r="C35" s="678">
        <v>2204</v>
      </c>
      <c r="D35" s="678">
        <v>90134</v>
      </c>
      <c r="E35" s="678">
        <f t="shared" si="0"/>
        <v>2204</v>
      </c>
      <c r="F35" s="678">
        <f t="shared" si="1"/>
        <v>90134</v>
      </c>
      <c r="G35" s="679">
        <f>'AT3C_cvrg(Insti)_UPY '!G34</f>
        <v>615</v>
      </c>
      <c r="H35" s="679">
        <v>59226</v>
      </c>
      <c r="I35" s="678">
        <f>'AT-3'!H32</f>
        <v>2207</v>
      </c>
      <c r="J35" s="724">
        <v>87601</v>
      </c>
      <c r="K35" s="724">
        <v>206</v>
      </c>
      <c r="L35" s="724">
        <v>711</v>
      </c>
    </row>
    <row r="36" spans="1:12" s="461" customFormat="1" ht="18.75">
      <c r="A36" s="260">
        <v>25</v>
      </c>
      <c r="B36" s="722" t="s">
        <v>736</v>
      </c>
      <c r="C36" s="678">
        <v>842</v>
      </c>
      <c r="D36" s="678">
        <v>43093</v>
      </c>
      <c r="E36" s="678">
        <f t="shared" si="0"/>
        <v>842</v>
      </c>
      <c r="F36" s="678">
        <f t="shared" si="1"/>
        <v>43093</v>
      </c>
      <c r="G36" s="679">
        <f>'AT3C_cvrg(Insti)_UPY '!G35</f>
        <v>237</v>
      </c>
      <c r="H36" s="679">
        <v>12340</v>
      </c>
      <c r="I36" s="678">
        <f>'AT-3'!H33</f>
        <v>884</v>
      </c>
      <c r="J36" s="724">
        <v>34847</v>
      </c>
      <c r="K36" s="724">
        <v>238</v>
      </c>
      <c r="L36" s="724">
        <v>615</v>
      </c>
    </row>
    <row r="37" spans="1:12" s="461" customFormat="1" ht="18.75">
      <c r="A37" s="260">
        <v>26</v>
      </c>
      <c r="B37" s="722" t="s">
        <v>744</v>
      </c>
      <c r="C37" s="678">
        <v>592</v>
      </c>
      <c r="D37" s="678">
        <v>34335</v>
      </c>
      <c r="E37" s="678">
        <f t="shared" si="0"/>
        <v>592</v>
      </c>
      <c r="F37" s="678">
        <f t="shared" si="1"/>
        <v>34335</v>
      </c>
      <c r="G37" s="679">
        <f>'AT3C_cvrg(Insti)_UPY '!G36</f>
        <v>207</v>
      </c>
      <c r="H37" s="679">
        <v>19603</v>
      </c>
      <c r="I37" s="678">
        <f>'AT-3'!H34</f>
        <v>887</v>
      </c>
      <c r="J37" s="724">
        <v>34583</v>
      </c>
      <c r="K37" s="724">
        <v>387</v>
      </c>
      <c r="L37" s="724">
        <v>936</v>
      </c>
    </row>
    <row r="38" spans="1:12" s="461" customFormat="1" ht="18.75">
      <c r="A38" s="262">
        <v>27</v>
      </c>
      <c r="B38" s="722" t="s">
        <v>838</v>
      </c>
      <c r="C38" s="678">
        <v>913</v>
      </c>
      <c r="D38" s="678">
        <v>107832</v>
      </c>
      <c r="E38" s="678">
        <f t="shared" si="0"/>
        <v>913</v>
      </c>
      <c r="F38" s="678">
        <f t="shared" si="1"/>
        <v>107832</v>
      </c>
      <c r="G38" s="679">
        <f>'AT3C_cvrg(Insti)_UPY '!G37</f>
        <v>275</v>
      </c>
      <c r="H38" s="679">
        <v>24481</v>
      </c>
      <c r="I38" s="678">
        <f>'AT-3'!H35</f>
        <v>941</v>
      </c>
      <c r="J38" s="724">
        <v>89920</v>
      </c>
      <c r="K38" s="724">
        <v>252</v>
      </c>
      <c r="L38" s="724">
        <v>744</v>
      </c>
    </row>
    <row r="39" spans="1:12" ht="15.75">
      <c r="A39" s="462" t="s">
        <v>19</v>
      </c>
      <c r="B39" s="462"/>
      <c r="C39" s="680">
        <f aca="true" t="shared" si="2" ref="C39:J39">SUM(C12:C38)</f>
        <v>43167</v>
      </c>
      <c r="D39" s="680">
        <f t="shared" si="2"/>
        <v>3000178</v>
      </c>
      <c r="E39" s="680">
        <f t="shared" si="2"/>
        <v>43167</v>
      </c>
      <c r="F39" s="680">
        <f t="shared" si="2"/>
        <v>3000178</v>
      </c>
      <c r="G39" s="680">
        <f t="shared" si="2"/>
        <v>13585</v>
      </c>
      <c r="H39" s="680">
        <f t="shared" si="2"/>
        <v>1215354</v>
      </c>
      <c r="I39" s="680">
        <f t="shared" si="2"/>
        <v>44954</v>
      </c>
      <c r="J39" s="725">
        <f t="shared" si="2"/>
        <v>2623569</v>
      </c>
      <c r="K39" s="725">
        <v>11784</v>
      </c>
      <c r="L39" s="725">
        <v>30897</v>
      </c>
    </row>
    <row r="40" spans="1:12" ht="15">
      <c r="A40" s="463"/>
      <c r="B40" s="463"/>
      <c r="C40" s="455"/>
      <c r="D40" s="455"/>
      <c r="E40" s="455"/>
      <c r="F40" s="455"/>
      <c r="G40" s="455"/>
      <c r="H40" s="455"/>
      <c r="I40" s="455"/>
      <c r="J40" s="455"/>
      <c r="K40" s="455"/>
      <c r="L40" s="455"/>
    </row>
    <row r="41" ht="15">
      <c r="A41" s="455"/>
    </row>
    <row r="42" spans="1:12" ht="15">
      <c r="A42" s="455"/>
      <c r="C42" s="455"/>
      <c r="D42" s="455"/>
      <c r="E42" s="455"/>
      <c r="F42" s="455"/>
      <c r="G42" s="455"/>
      <c r="H42" s="455"/>
      <c r="I42" s="455"/>
      <c r="J42" s="455"/>
      <c r="K42" s="455"/>
      <c r="L42" s="455"/>
    </row>
    <row r="44" spans="1:12" ht="15">
      <c r="A44" s="713"/>
      <c r="B44" s="713"/>
      <c r="C44" s="713"/>
      <c r="D44" s="713"/>
      <c r="E44" s="713"/>
      <c r="F44" s="713"/>
      <c r="G44" s="713"/>
      <c r="H44" s="713"/>
      <c r="I44" s="713"/>
      <c r="J44" s="713"/>
      <c r="K44" s="713"/>
      <c r="L44" s="713"/>
    </row>
    <row r="45" spans="1:12" ht="15">
      <c r="A45" s="455"/>
      <c r="B45" s="455"/>
      <c r="C45" s="455"/>
      <c r="D45" s="455"/>
      <c r="E45" s="455"/>
      <c r="F45" s="455"/>
      <c r="G45" s="455"/>
      <c r="H45" s="455"/>
      <c r="I45" s="455"/>
      <c r="J45" s="455"/>
      <c r="K45" s="455"/>
      <c r="L45" s="455"/>
    </row>
    <row r="46" spans="1:12" ht="15.75">
      <c r="A46" s="97" t="s">
        <v>12</v>
      </c>
      <c r="B46" s="97"/>
      <c r="C46" s="97"/>
      <c r="D46" s="97"/>
      <c r="E46" s="97"/>
      <c r="F46" s="97"/>
      <c r="G46" s="97"/>
      <c r="H46" s="710" t="s">
        <v>13</v>
      </c>
      <c r="I46" s="710"/>
      <c r="J46" s="710"/>
      <c r="K46" s="710"/>
      <c r="L46" s="710"/>
    </row>
    <row r="47" spans="2:12" ht="15.75" customHeight="1">
      <c r="B47" s="133"/>
      <c r="C47" s="133"/>
      <c r="D47" s="133"/>
      <c r="E47" s="133"/>
      <c r="F47" s="133"/>
      <c r="G47" s="133"/>
      <c r="H47" s="710" t="s">
        <v>14</v>
      </c>
      <c r="I47" s="710"/>
      <c r="J47" s="710"/>
      <c r="K47" s="710"/>
      <c r="L47" s="710"/>
    </row>
    <row r="48" spans="1:12" ht="15.75" customHeight="1">
      <c r="A48" s="133"/>
      <c r="B48" s="133"/>
      <c r="C48" s="133"/>
      <c r="D48" s="133"/>
      <c r="E48" s="133"/>
      <c r="F48" s="133"/>
      <c r="G48" s="133"/>
      <c r="H48" s="710" t="s">
        <v>789</v>
      </c>
      <c r="I48" s="710"/>
      <c r="J48" s="710"/>
      <c r="K48" s="710"/>
      <c r="L48" s="710"/>
    </row>
    <row r="49" spans="1:12" ht="15.75">
      <c r="A49" s="455"/>
      <c r="B49" s="455"/>
      <c r="C49" s="455"/>
      <c r="D49" s="455"/>
      <c r="E49" s="455"/>
      <c r="F49" s="455"/>
      <c r="H49" s="464" t="s">
        <v>84</v>
      </c>
      <c r="I49" s="464"/>
      <c r="J49" s="464"/>
      <c r="K49" s="464"/>
      <c r="L49" s="464"/>
    </row>
  </sheetData>
  <sheetProtection/>
  <mergeCells count="11">
    <mergeCell ref="E9:F9"/>
    <mergeCell ref="J8:L8"/>
    <mergeCell ref="A3:D3"/>
    <mergeCell ref="A2:C2"/>
    <mergeCell ref="G9:H9"/>
    <mergeCell ref="I9:J9"/>
    <mergeCell ref="K9:L9"/>
    <mergeCell ref="A9:A10"/>
    <mergeCell ref="B9:B10"/>
    <mergeCell ref="C9:C10"/>
    <mergeCell ref="D9:D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F46"/>
  <sheetViews>
    <sheetView view="pageBreakPreview" zoomScaleSheetLayoutView="100" zoomScalePageLayoutView="0" workbookViewId="0" topLeftCell="A7">
      <selection activeCell="F41" sqref="F41"/>
    </sheetView>
  </sheetViews>
  <sheetFormatPr defaultColWidth="8.8515625" defaultRowHeight="12.75"/>
  <cols>
    <col min="1" max="1" width="8.00390625" style="86" customWidth="1"/>
    <col min="2" max="2" width="19.140625" style="86" customWidth="1"/>
    <col min="3" max="3" width="20.57421875" style="86" customWidth="1"/>
    <col min="4" max="4" width="22.28125" style="86" customWidth="1"/>
    <col min="5" max="5" width="25.421875" style="86" customWidth="1"/>
    <col min="6" max="6" width="27.421875" style="86" customWidth="1"/>
    <col min="7" max="16384" width="8.8515625" style="86" customWidth="1"/>
  </cols>
  <sheetData>
    <row r="1" spans="4:6" ht="12.75" customHeight="1">
      <c r="D1" s="246"/>
      <c r="E1" s="246"/>
      <c r="F1" s="247" t="s">
        <v>100</v>
      </c>
    </row>
    <row r="2" spans="2:6" ht="15" customHeight="1">
      <c r="B2" s="1098" t="s">
        <v>0</v>
      </c>
      <c r="C2" s="1098"/>
      <c r="D2" s="1098"/>
      <c r="E2" s="1098"/>
      <c r="F2" s="1098"/>
    </row>
    <row r="3" spans="2:6" ht="20.25">
      <c r="B3" s="952" t="s">
        <v>859</v>
      </c>
      <c r="C3" s="952"/>
      <c r="D3" s="952"/>
      <c r="E3" s="952"/>
      <c r="F3" s="952"/>
    </row>
    <row r="4" ht="11.25" customHeight="1"/>
    <row r="5" spans="1:6" ht="12.75">
      <c r="A5" s="1099" t="s">
        <v>449</v>
      </c>
      <c r="B5" s="1099"/>
      <c r="C5" s="1099"/>
      <c r="D5" s="1099"/>
      <c r="E5" s="1099"/>
      <c r="F5" s="1099"/>
    </row>
    <row r="6" spans="1:6" ht="8.25" customHeight="1">
      <c r="A6" s="88"/>
      <c r="B6" s="88"/>
      <c r="C6" s="88"/>
      <c r="D6" s="88"/>
      <c r="E6" s="88"/>
      <c r="F6" s="88"/>
    </row>
    <row r="7" spans="1:2" ht="18" customHeight="1">
      <c r="A7" s="358" t="s">
        <v>634</v>
      </c>
      <c r="B7" s="358"/>
    </row>
    <row r="8" ht="18" customHeight="1" hidden="1">
      <c r="A8" s="89" t="s">
        <v>1</v>
      </c>
    </row>
    <row r="9" spans="1:6" ht="30" customHeight="1">
      <c r="A9" s="1103" t="s">
        <v>2</v>
      </c>
      <c r="B9" s="1103" t="s">
        <v>3</v>
      </c>
      <c r="C9" s="1100" t="s">
        <v>445</v>
      </c>
      <c r="D9" s="1101"/>
      <c r="E9" s="1102" t="s">
        <v>448</v>
      </c>
      <c r="F9" s="1102"/>
    </row>
    <row r="10" spans="1:6" s="98" customFormat="1" ht="25.5">
      <c r="A10" s="1103"/>
      <c r="B10" s="1103"/>
      <c r="C10" s="91" t="s">
        <v>446</v>
      </c>
      <c r="D10" s="91" t="s">
        <v>447</v>
      </c>
      <c r="E10" s="91" t="s">
        <v>446</v>
      </c>
      <c r="F10" s="91" t="s">
        <v>447</v>
      </c>
    </row>
    <row r="11" spans="1:6" s="158" customFormat="1" ht="12.75">
      <c r="A11" s="157">
        <v>1</v>
      </c>
      <c r="B11" s="157">
        <v>2</v>
      </c>
      <c r="C11" s="157">
        <v>3</v>
      </c>
      <c r="D11" s="157">
        <v>4</v>
      </c>
      <c r="E11" s="157">
        <v>5</v>
      </c>
      <c r="F11" s="157">
        <v>6</v>
      </c>
    </row>
    <row r="12" spans="1:6" s="158" customFormat="1" ht="15">
      <c r="A12" s="262">
        <v>1</v>
      </c>
      <c r="B12" s="586" t="s">
        <v>898</v>
      </c>
      <c r="C12" s="290">
        <f>'AT3A_cvrg(Insti)_PY'!D12+'AT3A_cvrg(Insti)_PY'!E12</f>
        <v>1400</v>
      </c>
      <c r="D12" s="290">
        <f aca="true" t="shared" si="0" ref="D12:D38">C12</f>
        <v>1400</v>
      </c>
      <c r="E12" s="293">
        <f>'AT3C_cvrg(Insti)_UPY '!C11+'AT3C_cvrg(Insti)_UPY '!D11</f>
        <v>561</v>
      </c>
      <c r="F12" s="293">
        <f>E12</f>
        <v>561</v>
      </c>
    </row>
    <row r="13" spans="1:6" s="158" customFormat="1" ht="15">
      <c r="A13" s="260">
        <v>2</v>
      </c>
      <c r="B13" s="586" t="s">
        <v>899</v>
      </c>
      <c r="C13" s="290">
        <f>'AT3A_cvrg(Insti)_PY'!D13+'AT3A_cvrg(Insti)_PY'!E13</f>
        <v>1370</v>
      </c>
      <c r="D13" s="290">
        <f t="shared" si="0"/>
        <v>1370</v>
      </c>
      <c r="E13" s="293">
        <f>'AT3C_cvrg(Insti)_UPY '!C12+'AT3C_cvrg(Insti)_UPY '!D12</f>
        <v>560</v>
      </c>
      <c r="F13" s="293">
        <f aca="true" t="shared" si="1" ref="F13:F38">E13</f>
        <v>560</v>
      </c>
    </row>
    <row r="14" spans="1:6" s="158" customFormat="1" ht="15">
      <c r="A14" s="260">
        <v>3</v>
      </c>
      <c r="B14" s="586" t="s">
        <v>839</v>
      </c>
      <c r="C14" s="290">
        <f>'AT3A_cvrg(Insti)_PY'!D14+'AT3A_cvrg(Insti)_PY'!E14</f>
        <v>1341</v>
      </c>
      <c r="D14" s="290">
        <f t="shared" si="0"/>
        <v>1341</v>
      </c>
      <c r="E14" s="293">
        <f>'AT3C_cvrg(Insti)_UPY '!C13+'AT3C_cvrg(Insti)_UPY '!D13</f>
        <v>574</v>
      </c>
      <c r="F14" s="293">
        <f t="shared" si="1"/>
        <v>574</v>
      </c>
    </row>
    <row r="15" spans="1:6" s="158" customFormat="1" ht="15">
      <c r="A15" s="260">
        <v>4</v>
      </c>
      <c r="B15" s="586" t="s">
        <v>743</v>
      </c>
      <c r="C15" s="290">
        <f>'AT3A_cvrg(Insti)_PY'!D15+'AT3A_cvrg(Insti)_PY'!E15</f>
        <v>1704</v>
      </c>
      <c r="D15" s="290">
        <f t="shared" si="0"/>
        <v>1704</v>
      </c>
      <c r="E15" s="293">
        <f>'AT3C_cvrg(Insti)_UPY '!C14+'AT3C_cvrg(Insti)_UPY '!D14</f>
        <v>783</v>
      </c>
      <c r="F15" s="293">
        <f t="shared" si="1"/>
        <v>783</v>
      </c>
    </row>
    <row r="16" spans="1:6" s="158" customFormat="1" ht="15">
      <c r="A16" s="260">
        <v>5</v>
      </c>
      <c r="B16" s="586" t="s">
        <v>748</v>
      </c>
      <c r="C16" s="290">
        <f>'AT3A_cvrg(Insti)_PY'!D16+'AT3A_cvrg(Insti)_PY'!E16</f>
        <v>1978</v>
      </c>
      <c r="D16" s="290">
        <f t="shared" si="0"/>
        <v>1978</v>
      </c>
      <c r="E16" s="293">
        <f>'AT3C_cvrg(Insti)_UPY '!C15+'AT3C_cvrg(Insti)_UPY '!D15</f>
        <v>917</v>
      </c>
      <c r="F16" s="293">
        <f t="shared" si="1"/>
        <v>917</v>
      </c>
    </row>
    <row r="17" spans="1:6" s="158" customFormat="1" ht="15">
      <c r="A17" s="260">
        <v>6</v>
      </c>
      <c r="B17" s="586" t="s">
        <v>747</v>
      </c>
      <c r="C17" s="290">
        <f>'AT3A_cvrg(Insti)_PY'!D17+'AT3A_cvrg(Insti)_PY'!E17</f>
        <v>1859</v>
      </c>
      <c r="D17" s="290">
        <f t="shared" si="0"/>
        <v>1859</v>
      </c>
      <c r="E17" s="293">
        <f>'AT3C_cvrg(Insti)_UPY '!C16+'AT3C_cvrg(Insti)_UPY '!D16</f>
        <v>792</v>
      </c>
      <c r="F17" s="293">
        <f t="shared" si="1"/>
        <v>792</v>
      </c>
    </row>
    <row r="18" spans="1:6" s="158" customFormat="1" ht="15">
      <c r="A18" s="260">
        <v>7</v>
      </c>
      <c r="B18" s="586" t="s">
        <v>737</v>
      </c>
      <c r="C18" s="290">
        <f>'AT3A_cvrg(Insti)_PY'!D18+'AT3A_cvrg(Insti)_PY'!E18</f>
        <v>596</v>
      </c>
      <c r="D18" s="290">
        <f t="shared" si="0"/>
        <v>596</v>
      </c>
      <c r="E18" s="293">
        <f>'AT3C_cvrg(Insti)_UPY '!C17+'AT3C_cvrg(Insti)_UPY '!D17</f>
        <v>353</v>
      </c>
      <c r="F18" s="293">
        <f t="shared" si="1"/>
        <v>353</v>
      </c>
    </row>
    <row r="19" spans="1:6" s="158" customFormat="1" ht="15">
      <c r="A19" s="260">
        <v>8</v>
      </c>
      <c r="B19" s="586" t="s">
        <v>749</v>
      </c>
      <c r="C19" s="290">
        <f>'AT3A_cvrg(Insti)_PY'!D19+'AT3A_cvrg(Insti)_PY'!E19</f>
        <v>778</v>
      </c>
      <c r="D19" s="290">
        <f t="shared" si="0"/>
        <v>778</v>
      </c>
      <c r="E19" s="293">
        <f>'AT3C_cvrg(Insti)_UPY '!C18+'AT3C_cvrg(Insti)_UPY '!D18</f>
        <v>475</v>
      </c>
      <c r="F19" s="293">
        <f t="shared" si="1"/>
        <v>475</v>
      </c>
    </row>
    <row r="20" spans="1:6" s="158" customFormat="1" ht="15">
      <c r="A20" s="260">
        <v>9</v>
      </c>
      <c r="B20" s="586" t="s">
        <v>834</v>
      </c>
      <c r="C20" s="290">
        <f>'AT3A_cvrg(Insti)_PY'!D20+'AT3A_cvrg(Insti)_PY'!E20</f>
        <v>1538</v>
      </c>
      <c r="D20" s="290">
        <f t="shared" si="0"/>
        <v>1538</v>
      </c>
      <c r="E20" s="293">
        <f>'AT3C_cvrg(Insti)_UPY '!C19+'AT3C_cvrg(Insti)_UPY '!D19</f>
        <v>645</v>
      </c>
      <c r="F20" s="293">
        <f t="shared" si="1"/>
        <v>645</v>
      </c>
    </row>
    <row r="21" spans="1:6" s="158" customFormat="1" ht="15">
      <c r="A21" s="260">
        <v>10</v>
      </c>
      <c r="B21" s="586" t="s">
        <v>739</v>
      </c>
      <c r="C21" s="290">
        <f>'AT3A_cvrg(Insti)_PY'!D21+'AT3A_cvrg(Insti)_PY'!E21</f>
        <v>423</v>
      </c>
      <c r="D21" s="290">
        <f t="shared" si="0"/>
        <v>423</v>
      </c>
      <c r="E21" s="293">
        <f>'AT3C_cvrg(Insti)_UPY '!C20+'AT3C_cvrg(Insti)_UPY '!D20</f>
        <v>143</v>
      </c>
      <c r="F21" s="293">
        <f t="shared" si="1"/>
        <v>143</v>
      </c>
    </row>
    <row r="22" spans="1:6" s="158" customFormat="1" ht="15">
      <c r="A22" s="260">
        <v>11</v>
      </c>
      <c r="B22" s="586" t="s">
        <v>900</v>
      </c>
      <c r="C22" s="290">
        <f>'AT3A_cvrg(Insti)_PY'!D22+'AT3A_cvrg(Insti)_PY'!E22</f>
        <v>764</v>
      </c>
      <c r="D22" s="290">
        <f t="shared" si="0"/>
        <v>764</v>
      </c>
      <c r="E22" s="293">
        <f>'AT3C_cvrg(Insti)_UPY '!C21+'AT3C_cvrg(Insti)_UPY '!D21</f>
        <v>217</v>
      </c>
      <c r="F22" s="293">
        <f t="shared" si="1"/>
        <v>217</v>
      </c>
    </row>
    <row r="23" spans="1:6" ht="15">
      <c r="A23" s="260">
        <v>12</v>
      </c>
      <c r="B23" s="586" t="s">
        <v>731</v>
      </c>
      <c r="C23" s="290">
        <f>'AT3A_cvrg(Insti)_PY'!D23+'AT3A_cvrg(Insti)_PY'!E23</f>
        <v>1226</v>
      </c>
      <c r="D23" s="290">
        <f t="shared" si="0"/>
        <v>1226</v>
      </c>
      <c r="E23" s="293">
        <f>'AT3C_cvrg(Insti)_UPY '!C22+'AT3C_cvrg(Insti)_UPY '!D22</f>
        <v>605</v>
      </c>
      <c r="F23" s="293">
        <f t="shared" si="1"/>
        <v>605</v>
      </c>
    </row>
    <row r="24" spans="1:6" ht="15">
      <c r="A24" s="260">
        <v>13</v>
      </c>
      <c r="B24" s="586" t="s">
        <v>742</v>
      </c>
      <c r="C24" s="290">
        <f>'AT3A_cvrg(Insti)_PY'!D24+'AT3A_cvrg(Insti)_PY'!E24</f>
        <v>824</v>
      </c>
      <c r="D24" s="290">
        <f t="shared" si="0"/>
        <v>824</v>
      </c>
      <c r="E24" s="293">
        <f>'AT3C_cvrg(Insti)_UPY '!C23+'AT3C_cvrg(Insti)_UPY '!D23</f>
        <v>413</v>
      </c>
      <c r="F24" s="293">
        <f t="shared" si="1"/>
        <v>413</v>
      </c>
    </row>
    <row r="25" spans="1:6" ht="15">
      <c r="A25" s="260">
        <v>14</v>
      </c>
      <c r="B25" s="586" t="s">
        <v>740</v>
      </c>
      <c r="C25" s="290">
        <f>'AT3A_cvrg(Insti)_PY'!D25+'AT3A_cvrg(Insti)_PY'!E25</f>
        <v>743</v>
      </c>
      <c r="D25" s="290">
        <f t="shared" si="0"/>
        <v>743</v>
      </c>
      <c r="E25" s="293">
        <f>'AT3C_cvrg(Insti)_UPY '!C24+'AT3C_cvrg(Insti)_UPY '!D24</f>
        <v>386</v>
      </c>
      <c r="F25" s="293">
        <f t="shared" si="1"/>
        <v>386</v>
      </c>
    </row>
    <row r="26" spans="1:6" ht="15">
      <c r="A26" s="260">
        <v>15</v>
      </c>
      <c r="B26" s="586" t="s">
        <v>734</v>
      </c>
      <c r="C26" s="290">
        <f>'AT3A_cvrg(Insti)_PY'!D26+'AT3A_cvrg(Insti)_PY'!E26</f>
        <v>982</v>
      </c>
      <c r="D26" s="290">
        <f t="shared" si="0"/>
        <v>982</v>
      </c>
      <c r="E26" s="293">
        <f>'AT3C_cvrg(Insti)_UPY '!C25+'AT3C_cvrg(Insti)_UPY '!D25</f>
        <v>450</v>
      </c>
      <c r="F26" s="293">
        <f t="shared" si="1"/>
        <v>450</v>
      </c>
    </row>
    <row r="27" spans="1:6" ht="15">
      <c r="A27" s="260">
        <v>16</v>
      </c>
      <c r="B27" s="586" t="s">
        <v>741</v>
      </c>
      <c r="C27" s="290">
        <f>'AT3A_cvrg(Insti)_PY'!D27+'AT3A_cvrg(Insti)_PY'!E27</f>
        <v>1192</v>
      </c>
      <c r="D27" s="290">
        <f t="shared" si="0"/>
        <v>1192</v>
      </c>
      <c r="E27" s="293">
        <f>'AT3C_cvrg(Insti)_UPY '!C26+'AT3C_cvrg(Insti)_UPY '!D26</f>
        <v>638</v>
      </c>
      <c r="F27" s="293">
        <f t="shared" si="1"/>
        <v>638</v>
      </c>
    </row>
    <row r="28" spans="1:6" ht="15">
      <c r="A28" s="260">
        <v>17</v>
      </c>
      <c r="B28" s="586" t="s">
        <v>733</v>
      </c>
      <c r="C28" s="290">
        <f>'AT3A_cvrg(Insti)_PY'!D28+'AT3A_cvrg(Insti)_PY'!E28</f>
        <v>962</v>
      </c>
      <c r="D28" s="290">
        <f t="shared" si="0"/>
        <v>962</v>
      </c>
      <c r="E28" s="293">
        <f>'AT3C_cvrg(Insti)_UPY '!C27+'AT3C_cvrg(Insti)_UPY '!D27</f>
        <v>416</v>
      </c>
      <c r="F28" s="293">
        <f t="shared" si="1"/>
        <v>416</v>
      </c>
    </row>
    <row r="29" spans="1:6" ht="15">
      <c r="A29" s="260">
        <v>18</v>
      </c>
      <c r="B29" s="586" t="s">
        <v>735</v>
      </c>
      <c r="C29" s="290">
        <f>'AT3A_cvrg(Insti)_PY'!D29+'AT3A_cvrg(Insti)_PY'!E29</f>
        <v>1551</v>
      </c>
      <c r="D29" s="290">
        <f t="shared" si="0"/>
        <v>1551</v>
      </c>
      <c r="E29" s="293">
        <f>'AT3C_cvrg(Insti)_UPY '!C28+'AT3C_cvrg(Insti)_UPY '!D28</f>
        <v>790</v>
      </c>
      <c r="F29" s="293">
        <f t="shared" si="1"/>
        <v>790</v>
      </c>
    </row>
    <row r="30" spans="1:6" ht="15">
      <c r="A30" s="260">
        <v>19</v>
      </c>
      <c r="B30" s="586" t="s">
        <v>732</v>
      </c>
      <c r="C30" s="290">
        <f>'AT3A_cvrg(Insti)_PY'!D30+'AT3A_cvrg(Insti)_PY'!E30</f>
        <v>1490</v>
      </c>
      <c r="D30" s="290">
        <f t="shared" si="0"/>
        <v>1490</v>
      </c>
      <c r="E30" s="293">
        <f>'AT3C_cvrg(Insti)_UPY '!C29+'AT3C_cvrg(Insti)_UPY '!D29</f>
        <v>523</v>
      </c>
      <c r="F30" s="293">
        <f t="shared" si="1"/>
        <v>523</v>
      </c>
    </row>
    <row r="31" spans="1:6" ht="15">
      <c r="A31" s="260">
        <v>20</v>
      </c>
      <c r="B31" s="586" t="s">
        <v>836</v>
      </c>
      <c r="C31" s="290">
        <f>'AT3A_cvrg(Insti)_PY'!D31+'AT3A_cvrg(Insti)_PY'!E31</f>
        <v>1726</v>
      </c>
      <c r="D31" s="290">
        <f t="shared" si="0"/>
        <v>1726</v>
      </c>
      <c r="E31" s="293">
        <f>'AT3C_cvrg(Insti)_UPY '!C30+'AT3C_cvrg(Insti)_UPY '!D30</f>
        <v>513</v>
      </c>
      <c r="F31" s="293">
        <f t="shared" si="1"/>
        <v>513</v>
      </c>
    </row>
    <row r="32" spans="1:6" ht="15">
      <c r="A32" s="260">
        <v>21</v>
      </c>
      <c r="B32" s="586" t="s">
        <v>729</v>
      </c>
      <c r="C32" s="290">
        <f>'AT3A_cvrg(Insti)_PY'!D32+'AT3A_cvrg(Insti)_PY'!E32</f>
        <v>983</v>
      </c>
      <c r="D32" s="290">
        <f t="shared" si="0"/>
        <v>983</v>
      </c>
      <c r="E32" s="293">
        <f>'AT3C_cvrg(Insti)_UPY '!C31+'AT3C_cvrg(Insti)_UPY '!D31</f>
        <v>494</v>
      </c>
      <c r="F32" s="293">
        <f t="shared" si="1"/>
        <v>494</v>
      </c>
    </row>
    <row r="33" spans="1:6" ht="15">
      <c r="A33" s="260">
        <v>22</v>
      </c>
      <c r="B33" s="586" t="s">
        <v>746</v>
      </c>
      <c r="C33" s="290">
        <f>'AT3A_cvrg(Insti)_PY'!D33+'AT3A_cvrg(Insti)_PY'!E33</f>
        <v>1300</v>
      </c>
      <c r="D33" s="290">
        <f t="shared" si="0"/>
        <v>1300</v>
      </c>
      <c r="E33" s="293">
        <f>'AT3C_cvrg(Insti)_UPY '!C32+'AT3C_cvrg(Insti)_UPY '!D32</f>
        <v>499</v>
      </c>
      <c r="F33" s="293">
        <f t="shared" si="1"/>
        <v>499</v>
      </c>
    </row>
    <row r="34" spans="1:6" ht="15">
      <c r="A34" s="260">
        <v>23</v>
      </c>
      <c r="B34" s="586" t="s">
        <v>738</v>
      </c>
      <c r="C34" s="290">
        <f>'AT3A_cvrg(Insti)_PY'!D34+'AT3A_cvrg(Insti)_PY'!E34</f>
        <v>883</v>
      </c>
      <c r="D34" s="290">
        <f t="shared" si="0"/>
        <v>883</v>
      </c>
      <c r="E34" s="293">
        <f>'AT3C_cvrg(Insti)_UPY '!C33+'AT3C_cvrg(Insti)_UPY '!D33</f>
        <v>451</v>
      </c>
      <c r="F34" s="293">
        <f t="shared" si="1"/>
        <v>451</v>
      </c>
    </row>
    <row r="35" spans="1:6" ht="15">
      <c r="A35" s="260">
        <v>24</v>
      </c>
      <c r="B35" s="586" t="s">
        <v>730</v>
      </c>
      <c r="C35" s="290">
        <f>'AT3A_cvrg(Insti)_PY'!D35+'AT3A_cvrg(Insti)_PY'!E35</f>
        <v>1588</v>
      </c>
      <c r="D35" s="290">
        <f t="shared" si="0"/>
        <v>1588</v>
      </c>
      <c r="E35" s="293">
        <f>'AT3C_cvrg(Insti)_UPY '!C34+'AT3C_cvrg(Insti)_UPY '!D34</f>
        <v>612</v>
      </c>
      <c r="F35" s="293">
        <f t="shared" si="1"/>
        <v>612</v>
      </c>
    </row>
    <row r="36" spans="1:6" ht="15">
      <c r="A36" s="260">
        <v>25</v>
      </c>
      <c r="B36" s="586" t="s">
        <v>736</v>
      </c>
      <c r="C36" s="290">
        <f>'AT3A_cvrg(Insti)_PY'!D36+'AT3A_cvrg(Insti)_PY'!E36</f>
        <v>645</v>
      </c>
      <c r="D36" s="290">
        <f t="shared" si="0"/>
        <v>645</v>
      </c>
      <c r="E36" s="293">
        <f>'AT3C_cvrg(Insti)_UPY '!C35+'AT3C_cvrg(Insti)_UPY '!D35</f>
        <v>236</v>
      </c>
      <c r="F36" s="293">
        <f t="shared" si="1"/>
        <v>236</v>
      </c>
    </row>
    <row r="37" spans="1:6" ht="15">
      <c r="A37" s="260">
        <v>26</v>
      </c>
      <c r="B37" s="586" t="s">
        <v>744</v>
      </c>
      <c r="C37" s="290">
        <f>'AT3A_cvrg(Insti)_PY'!D37+'AT3A_cvrg(Insti)_PY'!E37</f>
        <v>680</v>
      </c>
      <c r="D37" s="290">
        <f t="shared" si="0"/>
        <v>680</v>
      </c>
      <c r="E37" s="293">
        <f>'AT3C_cvrg(Insti)_UPY '!C36+'AT3C_cvrg(Insti)_UPY '!D36</f>
        <v>207</v>
      </c>
      <c r="F37" s="293">
        <f t="shared" si="1"/>
        <v>207</v>
      </c>
    </row>
    <row r="38" spans="1:6" ht="15">
      <c r="A38" s="262">
        <v>27</v>
      </c>
      <c r="B38" s="586" t="s">
        <v>745</v>
      </c>
      <c r="C38" s="290">
        <f>'AT3A_cvrg(Insti)_PY'!D38+'AT3A_cvrg(Insti)_PY'!E38</f>
        <v>664</v>
      </c>
      <c r="D38" s="290">
        <f t="shared" si="0"/>
        <v>664</v>
      </c>
      <c r="E38" s="293">
        <f>'AT3C_cvrg(Insti)_UPY '!C37+'AT3C_cvrg(Insti)_UPY '!D37</f>
        <v>275</v>
      </c>
      <c r="F38" s="293">
        <f t="shared" si="1"/>
        <v>275</v>
      </c>
    </row>
    <row r="39" spans="1:6" ht="12.75">
      <c r="A39" s="90" t="s">
        <v>19</v>
      </c>
      <c r="B39" s="93"/>
      <c r="C39" s="93">
        <f>SUM(C12:C38)</f>
        <v>31190</v>
      </c>
      <c r="D39" s="93">
        <f>SUM(D12:D38)</f>
        <v>31190</v>
      </c>
      <c r="E39" s="93">
        <f>SUM(E12:E38)</f>
        <v>13528</v>
      </c>
      <c r="F39" s="93">
        <f>SUM(F12:F38)</f>
        <v>13528</v>
      </c>
    </row>
    <row r="40" spans="1:6" ht="12.75">
      <c r="A40" s="95"/>
      <c r="B40" s="96"/>
      <c r="C40" s="96"/>
      <c r="D40" s="96"/>
      <c r="E40" s="96"/>
      <c r="F40" s="96"/>
    </row>
    <row r="41" ht="38.25" customHeight="1">
      <c r="C41" s="86" t="s">
        <v>11</v>
      </c>
    </row>
    <row r="42" spans="1:6" ht="15.75" customHeight="1">
      <c r="A42" s="14"/>
      <c r="B42" s="14"/>
      <c r="D42" s="83"/>
      <c r="E42" s="881" t="s">
        <v>13</v>
      </c>
      <c r="F42" s="881"/>
    </row>
    <row r="43" spans="1:6" ht="15" customHeight="1">
      <c r="A43" s="83" t="s">
        <v>165</v>
      </c>
      <c r="C43" s="83"/>
      <c r="D43" s="83"/>
      <c r="E43" s="881" t="s">
        <v>14</v>
      </c>
      <c r="F43" s="881"/>
    </row>
    <row r="44" spans="2:6" ht="12.75" customHeight="1">
      <c r="B44" s="83"/>
      <c r="C44" s="83"/>
      <c r="D44" s="83"/>
      <c r="E44" s="881" t="s">
        <v>638</v>
      </c>
      <c r="F44" s="881"/>
    </row>
    <row r="45" spans="1:6" ht="12.75">
      <c r="A45" s="14"/>
      <c r="B45" s="14"/>
      <c r="D45" s="1"/>
      <c r="E45" s="1" t="s">
        <v>84</v>
      </c>
      <c r="F45" s="1"/>
    </row>
    <row r="46" spans="1:6" ht="12.75">
      <c r="A46" s="1097"/>
      <c r="B46" s="1097"/>
      <c r="C46" s="1097"/>
      <c r="D46" s="1097"/>
      <c r="E46" s="1097"/>
      <c r="F46" s="1097"/>
    </row>
  </sheetData>
  <sheetProtection/>
  <mergeCells count="11">
    <mergeCell ref="E42:F42"/>
    <mergeCell ref="A46:F46"/>
    <mergeCell ref="B3:F3"/>
    <mergeCell ref="B2:F2"/>
    <mergeCell ref="A5:F5"/>
    <mergeCell ref="C9:D9"/>
    <mergeCell ref="E9:F9"/>
    <mergeCell ref="A9:A10"/>
    <mergeCell ref="B9:B10"/>
    <mergeCell ref="E44:F44"/>
    <mergeCell ref="E43:F43"/>
  </mergeCells>
  <printOptions horizontalCentered="1"/>
  <pageMargins left="0.7086614173228347" right="0.7086614173228347" top="0.55" bottom="0.17" header="0.78" footer="0.31496062992125984"/>
  <pageSetup fitToHeight="1" fitToWidth="1" horizontalDpi="600" verticalDpi="600" orientation="landscape" paperSize="9" scale="76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J52"/>
  <sheetViews>
    <sheetView view="pageBreakPreview" zoomScale="70" zoomScaleNormal="85" zoomScaleSheetLayoutView="70" zoomScalePageLayoutView="0" workbookViewId="0" topLeftCell="A16">
      <selection activeCell="K16" sqref="K1:M16384"/>
    </sheetView>
  </sheetViews>
  <sheetFormatPr defaultColWidth="9.140625" defaultRowHeight="12.75"/>
  <cols>
    <col min="2" max="2" width="19.28125" style="0" customWidth="1"/>
    <col min="3" max="3" width="16.421875" style="0" customWidth="1"/>
    <col min="4" max="4" width="10.8515625" style="0" customWidth="1"/>
    <col min="5" max="5" width="13.7109375" style="0" customWidth="1"/>
    <col min="6" max="6" width="14.28125" style="0" customWidth="1"/>
    <col min="7" max="7" width="11.421875" style="0" customWidth="1"/>
    <col min="8" max="8" width="12.28125" style="0" customWidth="1"/>
    <col min="9" max="9" width="16.28125" style="0" customWidth="1"/>
    <col min="10" max="10" width="19.28125" style="0" customWidth="1"/>
  </cols>
  <sheetData>
    <row r="1" spans="1:10" ht="15">
      <c r="A1" s="86"/>
      <c r="B1" s="86"/>
      <c r="C1" s="86"/>
      <c r="D1" s="1000"/>
      <c r="E1" s="1000"/>
      <c r="F1" s="40"/>
      <c r="G1" s="1000" t="s">
        <v>451</v>
      </c>
      <c r="H1" s="1000"/>
      <c r="I1" s="1000"/>
      <c r="J1" s="1000"/>
    </row>
    <row r="2" spans="1:10" ht="15.75">
      <c r="A2" s="1098" t="s">
        <v>0</v>
      </c>
      <c r="B2" s="1098"/>
      <c r="C2" s="1098"/>
      <c r="D2" s="1098"/>
      <c r="E2" s="1098"/>
      <c r="F2" s="1098"/>
      <c r="G2" s="1098"/>
      <c r="H2" s="1098"/>
      <c r="I2" s="1098"/>
      <c r="J2" s="1098"/>
    </row>
    <row r="3" spans="1:10" ht="18">
      <c r="A3" s="124"/>
      <c r="B3" s="124"/>
      <c r="C3" s="1111" t="s">
        <v>859</v>
      </c>
      <c r="D3" s="1111"/>
      <c r="E3" s="1111"/>
      <c r="F3" s="1111"/>
      <c r="G3" s="1111"/>
      <c r="H3" s="1111"/>
      <c r="I3" s="1111"/>
      <c r="J3" s="124"/>
    </row>
    <row r="4" spans="1:10" ht="15.75">
      <c r="A4" s="953" t="s">
        <v>450</v>
      </c>
      <c r="B4" s="953"/>
      <c r="C4" s="953"/>
      <c r="D4" s="953"/>
      <c r="E4" s="953"/>
      <c r="F4" s="953"/>
      <c r="G4" s="953"/>
      <c r="H4" s="953"/>
      <c r="I4" s="953"/>
      <c r="J4" s="953"/>
    </row>
    <row r="5" spans="1:10" ht="15.75">
      <c r="A5" s="358" t="s">
        <v>634</v>
      </c>
      <c r="B5" s="358"/>
      <c r="C5" s="88"/>
      <c r="D5" s="88"/>
      <c r="E5" s="88"/>
      <c r="F5" s="88"/>
      <c r="G5" s="88"/>
      <c r="H5" s="88"/>
      <c r="I5" s="88"/>
      <c r="J5" s="88"/>
    </row>
    <row r="6" spans="1:10" ht="12.75">
      <c r="A6" s="86"/>
      <c r="B6" s="86"/>
      <c r="C6" s="86"/>
      <c r="D6" s="86"/>
      <c r="E6" s="86"/>
      <c r="F6" s="86"/>
      <c r="G6" s="86"/>
      <c r="H6" s="86"/>
      <c r="I6" s="86"/>
      <c r="J6" s="86"/>
    </row>
    <row r="7" spans="1:10" ht="18">
      <c r="A7" s="89"/>
      <c r="B7" s="86"/>
      <c r="C7" s="86"/>
      <c r="D7" s="86"/>
      <c r="E7" s="86"/>
      <c r="F7" s="86"/>
      <c r="G7" s="86"/>
      <c r="H7" s="86"/>
      <c r="I7" s="86"/>
      <c r="J7" s="86"/>
    </row>
    <row r="8" spans="1:10" ht="21.75" customHeight="1">
      <c r="A8" s="1106" t="s">
        <v>2</v>
      </c>
      <c r="B8" s="1106" t="s">
        <v>3</v>
      </c>
      <c r="C8" s="1108" t="s">
        <v>151</v>
      </c>
      <c r="D8" s="1109"/>
      <c r="E8" s="1109"/>
      <c r="F8" s="1109"/>
      <c r="G8" s="1109"/>
      <c r="H8" s="1109"/>
      <c r="I8" s="1109"/>
      <c r="J8" s="1110"/>
    </row>
    <row r="9" spans="1:10" ht="39.75" customHeight="1">
      <c r="A9" s="1107"/>
      <c r="B9" s="1107"/>
      <c r="C9" s="91" t="s">
        <v>214</v>
      </c>
      <c r="D9" s="91" t="s">
        <v>126</v>
      </c>
      <c r="E9" s="91" t="s">
        <v>613</v>
      </c>
      <c r="F9" s="131" t="s">
        <v>180</v>
      </c>
      <c r="G9" s="131" t="s">
        <v>127</v>
      </c>
      <c r="H9" s="149" t="s">
        <v>213</v>
      </c>
      <c r="I9" s="149" t="s">
        <v>635</v>
      </c>
      <c r="J9" s="92" t="s">
        <v>19</v>
      </c>
    </row>
    <row r="10" spans="1:10" s="14" customFormat="1" ht="12.75">
      <c r="A10" s="91">
        <v>1</v>
      </c>
      <c r="B10" s="327">
        <v>2</v>
      </c>
      <c r="C10" s="327">
        <v>3</v>
      </c>
      <c r="D10" s="327">
        <v>4</v>
      </c>
      <c r="E10" s="157">
        <v>5</v>
      </c>
      <c r="F10" s="327">
        <v>6</v>
      </c>
      <c r="G10" s="327">
        <v>7</v>
      </c>
      <c r="H10" s="344">
        <v>8</v>
      </c>
      <c r="I10" s="344">
        <v>9</v>
      </c>
      <c r="J10" s="345">
        <v>10</v>
      </c>
    </row>
    <row r="11" spans="1:10" s="14" customFormat="1" ht="21" customHeight="1">
      <c r="A11" s="726">
        <v>1</v>
      </c>
      <c r="B11" s="729" t="s">
        <v>841</v>
      </c>
      <c r="C11" s="727">
        <v>1</v>
      </c>
      <c r="D11" s="727">
        <v>1803</v>
      </c>
      <c r="E11" s="730">
        <v>172</v>
      </c>
      <c r="F11" s="731"/>
      <c r="G11" s="727">
        <v>0</v>
      </c>
      <c r="H11" s="731"/>
      <c r="I11" s="732"/>
      <c r="J11" s="728">
        <f aca="true" t="shared" si="0" ref="J11:J37">SUM(C11:I11)</f>
        <v>1976</v>
      </c>
    </row>
    <row r="12" spans="1:10" s="14" customFormat="1" ht="21" customHeight="1">
      <c r="A12" s="726">
        <v>2</v>
      </c>
      <c r="B12" s="729" t="s">
        <v>833</v>
      </c>
      <c r="C12" s="727">
        <v>0</v>
      </c>
      <c r="D12" s="727">
        <v>1507</v>
      </c>
      <c r="E12" s="730">
        <v>458</v>
      </c>
      <c r="F12" s="731"/>
      <c r="G12" s="727">
        <v>0</v>
      </c>
      <c r="H12" s="733"/>
      <c r="I12" s="732"/>
      <c r="J12" s="728">
        <f t="shared" si="0"/>
        <v>1965</v>
      </c>
    </row>
    <row r="13" spans="1:10" s="14" customFormat="1" ht="21" customHeight="1">
      <c r="A13" s="726">
        <v>3</v>
      </c>
      <c r="B13" s="729" t="s">
        <v>839</v>
      </c>
      <c r="C13" s="727">
        <v>2</v>
      </c>
      <c r="D13" s="727">
        <v>1741</v>
      </c>
      <c r="E13" s="730">
        <v>70</v>
      </c>
      <c r="F13" s="731"/>
      <c r="G13" s="727">
        <v>122</v>
      </c>
      <c r="H13" s="731"/>
      <c r="I13" s="732"/>
      <c r="J13" s="728">
        <f t="shared" si="0"/>
        <v>1935</v>
      </c>
    </row>
    <row r="14" spans="1:10" s="14" customFormat="1" ht="21" customHeight="1">
      <c r="A14" s="726">
        <v>4</v>
      </c>
      <c r="B14" s="729" t="s">
        <v>743</v>
      </c>
      <c r="C14" s="727">
        <v>3</v>
      </c>
      <c r="D14" s="727">
        <v>2322</v>
      </c>
      <c r="E14" s="730">
        <v>74</v>
      </c>
      <c r="F14" s="731"/>
      <c r="G14" s="727">
        <v>104</v>
      </c>
      <c r="H14" s="731"/>
      <c r="I14" s="732"/>
      <c r="J14" s="728">
        <f t="shared" si="0"/>
        <v>2503</v>
      </c>
    </row>
    <row r="15" spans="1:10" s="14" customFormat="1" ht="21" customHeight="1">
      <c r="A15" s="726">
        <v>5</v>
      </c>
      <c r="B15" s="729" t="s">
        <v>748</v>
      </c>
      <c r="C15" s="727">
        <v>12</v>
      </c>
      <c r="D15" s="727">
        <v>2823</v>
      </c>
      <c r="E15" s="730">
        <v>69</v>
      </c>
      <c r="F15" s="731"/>
      <c r="G15" s="727">
        <v>0</v>
      </c>
      <c r="H15" s="731"/>
      <c r="I15" s="732"/>
      <c r="J15" s="728">
        <f t="shared" si="0"/>
        <v>2904</v>
      </c>
    </row>
    <row r="16" spans="1:10" s="14" customFormat="1" ht="21" customHeight="1">
      <c r="A16" s="726">
        <v>6</v>
      </c>
      <c r="B16" s="729" t="s">
        <v>747</v>
      </c>
      <c r="C16" s="727">
        <v>0</v>
      </c>
      <c r="D16" s="727">
        <v>2600</v>
      </c>
      <c r="E16" s="730">
        <v>57</v>
      </c>
      <c r="F16" s="731"/>
      <c r="G16" s="727">
        <v>0</v>
      </c>
      <c r="H16" s="731"/>
      <c r="I16" s="732"/>
      <c r="J16" s="728">
        <f t="shared" si="0"/>
        <v>2657</v>
      </c>
    </row>
    <row r="17" spans="1:10" s="14" customFormat="1" ht="21" customHeight="1">
      <c r="A17" s="726">
        <v>7</v>
      </c>
      <c r="B17" s="729" t="s">
        <v>737</v>
      </c>
      <c r="C17" s="727">
        <v>0</v>
      </c>
      <c r="D17" s="727">
        <v>693</v>
      </c>
      <c r="E17" s="730">
        <v>97</v>
      </c>
      <c r="F17" s="731"/>
      <c r="G17" s="727">
        <v>179</v>
      </c>
      <c r="H17" s="733"/>
      <c r="I17" s="732"/>
      <c r="J17" s="728">
        <f t="shared" si="0"/>
        <v>969</v>
      </c>
    </row>
    <row r="18" spans="1:10" s="14" customFormat="1" ht="21" customHeight="1">
      <c r="A18" s="726">
        <v>8</v>
      </c>
      <c r="B18" s="729" t="s">
        <v>749</v>
      </c>
      <c r="C18" s="727">
        <v>1</v>
      </c>
      <c r="D18" s="727">
        <v>1035</v>
      </c>
      <c r="E18" s="730">
        <v>23</v>
      </c>
      <c r="F18" s="731"/>
      <c r="G18" s="727">
        <v>221</v>
      </c>
      <c r="H18" s="731"/>
      <c r="I18" s="732"/>
      <c r="J18" s="728">
        <f t="shared" si="0"/>
        <v>1280</v>
      </c>
    </row>
    <row r="19" spans="1:10" s="14" customFormat="1" ht="21" customHeight="1">
      <c r="A19" s="726">
        <v>9</v>
      </c>
      <c r="B19" s="729" t="s">
        <v>834</v>
      </c>
      <c r="C19" s="727">
        <v>0</v>
      </c>
      <c r="D19" s="727">
        <v>2160</v>
      </c>
      <c r="E19" s="730">
        <v>32</v>
      </c>
      <c r="F19" s="731"/>
      <c r="G19" s="727">
        <v>0</v>
      </c>
      <c r="H19" s="733"/>
      <c r="I19" s="732"/>
      <c r="J19" s="728">
        <f t="shared" si="0"/>
        <v>2192</v>
      </c>
    </row>
    <row r="20" spans="1:10" s="14" customFormat="1" ht="21" customHeight="1">
      <c r="A20" s="726">
        <v>10</v>
      </c>
      <c r="B20" s="729" t="s">
        <v>739</v>
      </c>
      <c r="C20" s="727">
        <v>0</v>
      </c>
      <c r="D20" s="727">
        <v>564</v>
      </c>
      <c r="E20" s="730">
        <v>3</v>
      </c>
      <c r="F20" s="731"/>
      <c r="G20" s="727">
        <v>0</v>
      </c>
      <c r="H20" s="733"/>
      <c r="I20" s="732"/>
      <c r="J20" s="728">
        <f t="shared" si="0"/>
        <v>567</v>
      </c>
    </row>
    <row r="21" spans="1:10" s="14" customFormat="1" ht="21" customHeight="1">
      <c r="A21" s="726">
        <v>11</v>
      </c>
      <c r="B21" s="729" t="s">
        <v>840</v>
      </c>
      <c r="C21" s="727">
        <v>0</v>
      </c>
      <c r="D21" s="727">
        <v>893</v>
      </c>
      <c r="E21" s="730">
        <v>90</v>
      </c>
      <c r="F21" s="731"/>
      <c r="G21" s="727">
        <v>0</v>
      </c>
      <c r="H21" s="731"/>
      <c r="I21" s="732"/>
      <c r="J21" s="728">
        <f t="shared" si="0"/>
        <v>983</v>
      </c>
    </row>
    <row r="22" spans="1:10" ht="21" customHeight="1">
      <c r="A22" s="726">
        <v>12</v>
      </c>
      <c r="B22" s="729" t="s">
        <v>837</v>
      </c>
      <c r="C22" s="727">
        <v>0</v>
      </c>
      <c r="D22" s="727">
        <v>1824</v>
      </c>
      <c r="E22" s="730">
        <v>11</v>
      </c>
      <c r="F22" s="731"/>
      <c r="G22" s="727">
        <v>0</v>
      </c>
      <c r="H22" s="733"/>
      <c r="I22" s="732"/>
      <c r="J22" s="728">
        <f t="shared" si="0"/>
        <v>1835</v>
      </c>
    </row>
    <row r="23" spans="1:10" ht="21" customHeight="1">
      <c r="A23" s="726">
        <v>13</v>
      </c>
      <c r="B23" s="729" t="s">
        <v>831</v>
      </c>
      <c r="C23" s="727">
        <v>0</v>
      </c>
      <c r="D23" s="727">
        <v>1220</v>
      </c>
      <c r="E23" s="730">
        <v>19</v>
      </c>
      <c r="F23" s="731"/>
      <c r="G23" s="727">
        <v>0</v>
      </c>
      <c r="H23" s="731"/>
      <c r="I23" s="732"/>
      <c r="J23" s="728">
        <f t="shared" si="0"/>
        <v>1239</v>
      </c>
    </row>
    <row r="24" spans="1:10" ht="21" customHeight="1">
      <c r="A24" s="726">
        <v>14</v>
      </c>
      <c r="B24" s="729" t="s">
        <v>740</v>
      </c>
      <c r="C24" s="727">
        <v>0</v>
      </c>
      <c r="D24" s="727">
        <v>1127</v>
      </c>
      <c r="E24" s="730">
        <v>6</v>
      </c>
      <c r="F24" s="731"/>
      <c r="G24" s="727">
        <v>0</v>
      </c>
      <c r="H24" s="733"/>
      <c r="I24" s="732"/>
      <c r="J24" s="728">
        <f t="shared" si="0"/>
        <v>1133</v>
      </c>
    </row>
    <row r="25" spans="1:10" ht="21" customHeight="1">
      <c r="A25" s="726">
        <v>15</v>
      </c>
      <c r="B25" s="729" t="s">
        <v>835</v>
      </c>
      <c r="C25" s="727">
        <v>2</v>
      </c>
      <c r="D25" s="727">
        <v>1394</v>
      </c>
      <c r="E25" s="730">
        <v>36</v>
      </c>
      <c r="F25" s="731"/>
      <c r="G25" s="727">
        <v>0</v>
      </c>
      <c r="H25" s="733"/>
      <c r="I25" s="732"/>
      <c r="J25" s="728">
        <f t="shared" si="0"/>
        <v>1432</v>
      </c>
    </row>
    <row r="26" spans="1:10" ht="21" customHeight="1">
      <c r="A26" s="726">
        <v>16</v>
      </c>
      <c r="B26" s="729" t="s">
        <v>832</v>
      </c>
      <c r="C26" s="727">
        <v>1</v>
      </c>
      <c r="D26" s="727">
        <v>1783</v>
      </c>
      <c r="E26" s="730">
        <v>46</v>
      </c>
      <c r="F26" s="731"/>
      <c r="G26" s="727">
        <v>0</v>
      </c>
      <c r="H26" s="733"/>
      <c r="I26" s="732"/>
      <c r="J26" s="728">
        <f t="shared" si="0"/>
        <v>1830</v>
      </c>
    </row>
    <row r="27" spans="1:10" ht="21" customHeight="1">
      <c r="A27" s="726">
        <v>17</v>
      </c>
      <c r="B27" s="729" t="s">
        <v>733</v>
      </c>
      <c r="C27" s="727">
        <v>1</v>
      </c>
      <c r="D27" s="727">
        <v>1335</v>
      </c>
      <c r="E27" s="730">
        <v>47</v>
      </c>
      <c r="F27" s="731"/>
      <c r="G27" s="727">
        <v>0</v>
      </c>
      <c r="H27" s="733"/>
      <c r="I27" s="732"/>
      <c r="J27" s="728">
        <f t="shared" si="0"/>
        <v>1383</v>
      </c>
    </row>
    <row r="28" spans="1:10" ht="21" customHeight="1">
      <c r="A28" s="726">
        <v>18</v>
      </c>
      <c r="B28" s="729" t="s">
        <v>735</v>
      </c>
      <c r="C28" s="727">
        <v>4</v>
      </c>
      <c r="D28" s="727">
        <v>2243</v>
      </c>
      <c r="E28" s="730">
        <v>95</v>
      </c>
      <c r="F28" s="731"/>
      <c r="G28" s="727">
        <v>0</v>
      </c>
      <c r="H28" s="733"/>
      <c r="I28" s="732"/>
      <c r="J28" s="728">
        <f t="shared" si="0"/>
        <v>2342</v>
      </c>
    </row>
    <row r="29" spans="1:10" ht="21" customHeight="1">
      <c r="A29" s="726">
        <v>19</v>
      </c>
      <c r="B29" s="729" t="s">
        <v>732</v>
      </c>
      <c r="C29" s="727">
        <v>0</v>
      </c>
      <c r="D29" s="727">
        <v>1985</v>
      </c>
      <c r="E29" s="730">
        <v>35</v>
      </c>
      <c r="F29" s="731"/>
      <c r="G29" s="727">
        <v>0</v>
      </c>
      <c r="H29" s="733"/>
      <c r="I29" s="732"/>
      <c r="J29" s="728">
        <f t="shared" si="0"/>
        <v>2020</v>
      </c>
    </row>
    <row r="30" spans="1:10" ht="21" customHeight="1">
      <c r="A30" s="726">
        <v>20</v>
      </c>
      <c r="B30" s="729" t="s">
        <v>836</v>
      </c>
      <c r="C30" s="727">
        <v>0</v>
      </c>
      <c r="D30" s="727">
        <v>2266</v>
      </c>
      <c r="E30" s="730">
        <v>0</v>
      </c>
      <c r="F30" s="731"/>
      <c r="G30" s="727">
        <v>0</v>
      </c>
      <c r="H30" s="733"/>
      <c r="I30" s="732"/>
      <c r="J30" s="728">
        <f t="shared" si="0"/>
        <v>2266</v>
      </c>
    </row>
    <row r="31" spans="1:10" ht="21" customHeight="1">
      <c r="A31" s="726">
        <v>21</v>
      </c>
      <c r="B31" s="729" t="s">
        <v>729</v>
      </c>
      <c r="C31" s="727">
        <v>1</v>
      </c>
      <c r="D31" s="727">
        <v>1473</v>
      </c>
      <c r="E31" s="730">
        <v>6</v>
      </c>
      <c r="F31" s="731"/>
      <c r="G31" s="727">
        <v>0</v>
      </c>
      <c r="H31" s="733"/>
      <c r="I31" s="732"/>
      <c r="J31" s="728">
        <f t="shared" si="0"/>
        <v>1480</v>
      </c>
    </row>
    <row r="32" spans="1:10" ht="21" customHeight="1">
      <c r="A32" s="726">
        <v>22</v>
      </c>
      <c r="B32" s="729" t="s">
        <v>746</v>
      </c>
      <c r="C32" s="727">
        <v>2</v>
      </c>
      <c r="D32" s="727">
        <v>1713</v>
      </c>
      <c r="E32" s="730">
        <v>93</v>
      </c>
      <c r="F32" s="731"/>
      <c r="G32" s="727">
        <v>0</v>
      </c>
      <c r="H32" s="731"/>
      <c r="I32" s="732"/>
      <c r="J32" s="728">
        <f t="shared" si="0"/>
        <v>1808</v>
      </c>
    </row>
    <row r="33" spans="1:10" ht="21" customHeight="1">
      <c r="A33" s="726">
        <v>23</v>
      </c>
      <c r="B33" s="729" t="s">
        <v>738</v>
      </c>
      <c r="C33" s="727">
        <v>0</v>
      </c>
      <c r="D33" s="727">
        <v>1246</v>
      </c>
      <c r="E33" s="730">
        <v>34</v>
      </c>
      <c r="F33" s="731"/>
      <c r="G33" s="727">
        <v>56</v>
      </c>
      <c r="H33" s="733"/>
      <c r="I33" s="732"/>
      <c r="J33" s="728">
        <f t="shared" si="0"/>
        <v>1336</v>
      </c>
    </row>
    <row r="34" spans="1:10" ht="21" customHeight="1">
      <c r="A34" s="726">
        <v>24</v>
      </c>
      <c r="B34" s="729" t="s">
        <v>730</v>
      </c>
      <c r="C34" s="727">
        <v>0</v>
      </c>
      <c r="D34" s="727">
        <v>2115</v>
      </c>
      <c r="E34" s="730">
        <v>92</v>
      </c>
      <c r="F34" s="731"/>
      <c r="G34" s="727">
        <v>0</v>
      </c>
      <c r="H34" s="733"/>
      <c r="I34" s="732"/>
      <c r="J34" s="728">
        <f t="shared" si="0"/>
        <v>2207</v>
      </c>
    </row>
    <row r="35" spans="1:10" ht="21" customHeight="1">
      <c r="A35" s="726">
        <v>25</v>
      </c>
      <c r="B35" s="729" t="s">
        <v>736</v>
      </c>
      <c r="C35" s="727">
        <v>0</v>
      </c>
      <c r="D35" s="727">
        <v>556</v>
      </c>
      <c r="E35" s="730">
        <v>328</v>
      </c>
      <c r="F35" s="731"/>
      <c r="G35" s="727">
        <v>0</v>
      </c>
      <c r="H35" s="733"/>
      <c r="I35" s="732"/>
      <c r="J35" s="728">
        <f t="shared" si="0"/>
        <v>884</v>
      </c>
    </row>
    <row r="36" spans="1:10" ht="21" customHeight="1">
      <c r="A36" s="726">
        <v>26</v>
      </c>
      <c r="B36" s="729" t="s">
        <v>744</v>
      </c>
      <c r="C36" s="727">
        <v>0</v>
      </c>
      <c r="D36" s="727">
        <v>857</v>
      </c>
      <c r="E36" s="730">
        <v>30</v>
      </c>
      <c r="F36" s="731"/>
      <c r="G36" s="727">
        <v>0</v>
      </c>
      <c r="H36" s="731"/>
      <c r="I36" s="732"/>
      <c r="J36" s="728">
        <f t="shared" si="0"/>
        <v>887</v>
      </c>
    </row>
    <row r="37" spans="1:10" ht="21" customHeight="1">
      <c r="A37" s="726">
        <v>27</v>
      </c>
      <c r="B37" s="729" t="s">
        <v>838</v>
      </c>
      <c r="C37" s="727">
        <v>1</v>
      </c>
      <c r="D37" s="727">
        <v>886</v>
      </c>
      <c r="E37" s="730">
        <v>54</v>
      </c>
      <c r="F37" s="731"/>
      <c r="G37" s="727">
        <v>0</v>
      </c>
      <c r="H37" s="731"/>
      <c r="I37" s="732"/>
      <c r="J37" s="728">
        <f t="shared" si="0"/>
        <v>941</v>
      </c>
    </row>
    <row r="38" spans="1:10" ht="18.75" customHeight="1">
      <c r="A38" s="734" t="s">
        <v>19</v>
      </c>
      <c r="B38" s="735"/>
      <c r="C38" s="736">
        <f>SUM(C11:C37)</f>
        <v>31</v>
      </c>
      <c r="D38" s="735">
        <f aca="true" t="shared" si="1" ref="D38:J38">SUM(D11:D37)</f>
        <v>42164</v>
      </c>
      <c r="E38" s="737">
        <f t="shared" si="1"/>
        <v>2077</v>
      </c>
      <c r="F38" s="738">
        <f t="shared" si="1"/>
        <v>0</v>
      </c>
      <c r="G38" s="735">
        <f t="shared" si="1"/>
        <v>682</v>
      </c>
      <c r="H38" s="735">
        <f t="shared" si="1"/>
        <v>0</v>
      </c>
      <c r="I38" s="735">
        <f t="shared" si="1"/>
        <v>0</v>
      </c>
      <c r="J38" s="735">
        <f t="shared" si="1"/>
        <v>44954</v>
      </c>
    </row>
    <row r="39" spans="1:10" ht="12.75">
      <c r="A39" s="94"/>
      <c r="B39" s="86"/>
      <c r="C39" s="86"/>
      <c r="D39" s="86"/>
      <c r="E39" s="86"/>
      <c r="F39" s="86"/>
      <c r="G39" s="86"/>
      <c r="H39" s="86"/>
      <c r="I39" s="86"/>
      <c r="J39" s="86"/>
    </row>
    <row r="40" spans="1:10" ht="12.75">
      <c r="A40" s="86"/>
      <c r="B40" s="86"/>
      <c r="C40" s="86"/>
      <c r="D40" s="86"/>
      <c r="E40" s="86"/>
      <c r="F40" s="86"/>
      <c r="G40" s="86"/>
      <c r="H40" s="86"/>
      <c r="I40" s="86"/>
      <c r="J40" s="86"/>
    </row>
    <row r="41" spans="1:10" ht="12.75">
      <c r="A41" s="86" t="s">
        <v>128</v>
      </c>
      <c r="B41" s="86"/>
      <c r="C41" s="86"/>
      <c r="D41" s="86"/>
      <c r="E41" s="86"/>
      <c r="F41" s="86"/>
      <c r="G41" s="86"/>
      <c r="H41" s="86"/>
      <c r="I41" s="86"/>
      <c r="J41" s="86"/>
    </row>
    <row r="42" spans="1:10" ht="12.75">
      <c r="A42" s="86" t="s">
        <v>215</v>
      </c>
      <c r="B42" s="86"/>
      <c r="C42" s="86"/>
      <c r="D42" s="86"/>
      <c r="E42" s="86"/>
      <c r="F42" s="86"/>
      <c r="G42" s="86"/>
      <c r="H42" s="86"/>
      <c r="I42" s="86"/>
      <c r="J42" s="86"/>
    </row>
    <row r="43" ht="12.75">
      <c r="A43" t="s">
        <v>129</v>
      </c>
    </row>
    <row r="44" spans="1:10" ht="12.75">
      <c r="A44" s="1104" t="s">
        <v>130</v>
      </c>
      <c r="B44" s="1104"/>
      <c r="C44" s="1104"/>
      <c r="D44" s="1104"/>
      <c r="E44" s="1104"/>
      <c r="F44" s="1104"/>
      <c r="G44" s="1104"/>
      <c r="H44" s="1104"/>
      <c r="I44" s="1104"/>
      <c r="J44" s="1104"/>
    </row>
    <row r="45" spans="1:10" ht="12.75">
      <c r="A45" s="1105" t="s">
        <v>131</v>
      </c>
      <c r="B45" s="1105"/>
      <c r="C45" s="1105"/>
      <c r="D45" s="1105"/>
      <c r="E45" s="86"/>
      <c r="F45" s="86"/>
      <c r="G45" s="86"/>
      <c r="H45" s="86"/>
      <c r="I45" s="86"/>
      <c r="J45" s="86"/>
    </row>
    <row r="46" spans="1:10" ht="12.75">
      <c r="A46" s="132" t="s">
        <v>181</v>
      </c>
      <c r="B46" s="132"/>
      <c r="C46" s="132"/>
      <c r="D46" s="132"/>
      <c r="E46" s="86"/>
      <c r="F46" s="86"/>
      <c r="G46" s="86"/>
      <c r="H46" s="86"/>
      <c r="I46" s="86"/>
      <c r="J46" s="86"/>
    </row>
    <row r="47" spans="1:10" ht="12.75">
      <c r="A47" s="132"/>
      <c r="B47" s="132"/>
      <c r="C47" s="132"/>
      <c r="D47" s="132"/>
      <c r="E47" s="86"/>
      <c r="F47" s="86"/>
      <c r="G47" s="86"/>
      <c r="H47" s="86"/>
      <c r="I47" s="86"/>
      <c r="J47" s="86"/>
    </row>
    <row r="48" spans="1:10" ht="15.75">
      <c r="A48" s="97" t="s">
        <v>12</v>
      </c>
      <c r="B48" s="97"/>
      <c r="C48" s="97"/>
      <c r="D48" s="97"/>
      <c r="E48" s="14"/>
      <c r="F48" s="14"/>
      <c r="G48" s="881" t="s">
        <v>13</v>
      </c>
      <c r="H48" s="881"/>
      <c r="I48" s="83"/>
      <c r="J48" s="14"/>
    </row>
    <row r="49" spans="1:10" ht="15.75" customHeight="1">
      <c r="A49" s="133"/>
      <c r="B49" s="133"/>
      <c r="C49" s="133"/>
      <c r="D49" s="133"/>
      <c r="E49" s="83"/>
      <c r="F49" s="881" t="s">
        <v>14</v>
      </c>
      <c r="G49" s="881"/>
      <c r="H49" s="881"/>
      <c r="I49" s="881"/>
      <c r="J49" s="83"/>
    </row>
    <row r="50" spans="1:10" ht="15.75" customHeight="1">
      <c r="A50" s="133" t="s">
        <v>15</v>
      </c>
      <c r="B50" s="133"/>
      <c r="C50" s="133"/>
      <c r="D50" s="133"/>
      <c r="E50" s="881" t="s">
        <v>637</v>
      </c>
      <c r="F50" s="881"/>
      <c r="G50" s="881"/>
      <c r="H50" s="881"/>
      <c r="I50" s="881"/>
      <c r="J50" s="881"/>
    </row>
    <row r="51" spans="1:10" ht="12.75">
      <c r="A51" s="86"/>
      <c r="B51" s="86"/>
      <c r="C51" s="86"/>
      <c r="D51" s="86"/>
      <c r="E51" s="14"/>
      <c r="F51" s="14"/>
      <c r="G51" s="1" t="s">
        <v>84</v>
      </c>
      <c r="H51" s="1"/>
      <c r="I51" s="1"/>
      <c r="J51" s="1"/>
    </row>
    <row r="52" spans="1:10" ht="12.75">
      <c r="A52" s="1097"/>
      <c r="B52" s="1097"/>
      <c r="C52" s="1097"/>
      <c r="D52" s="1097"/>
      <c r="E52" s="1097"/>
      <c r="F52" s="1097"/>
      <c r="G52" s="1097"/>
      <c r="H52" s="1097"/>
      <c r="I52" s="1097"/>
      <c r="J52" s="1097"/>
    </row>
  </sheetData>
  <sheetProtection/>
  <mergeCells count="15">
    <mergeCell ref="D1:E1"/>
    <mergeCell ref="G1:J1"/>
    <mergeCell ref="A2:J2"/>
    <mergeCell ref="A4:J4"/>
    <mergeCell ref="A8:A9"/>
    <mergeCell ref="B8:B9"/>
    <mergeCell ref="C8:J8"/>
    <mergeCell ref="C3:I3"/>
    <mergeCell ref="A52:J52"/>
    <mergeCell ref="A44:D44"/>
    <mergeCell ref="E44:J44"/>
    <mergeCell ref="A45:D45"/>
    <mergeCell ref="G48:H48"/>
    <mergeCell ref="F49:I49"/>
    <mergeCell ref="E50:J50"/>
  </mergeCells>
  <printOptions horizontalCentered="1"/>
  <pageMargins left="0.7086614173228347" right="0.7086614173228347" top="0.54" bottom="0" header="0.69" footer="0.31496062992125984"/>
  <pageSetup fitToHeight="1" fitToWidth="1" horizontalDpi="600" verticalDpi="600" orientation="landscape" paperSize="9" scale="5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Z49"/>
  <sheetViews>
    <sheetView view="pageBreakPreview" zoomScale="76" zoomScaleNormal="85" zoomScaleSheetLayoutView="76" zoomScalePageLayoutView="0" workbookViewId="0" topLeftCell="A4">
      <selection activeCell="B12" sqref="B12:B38"/>
    </sheetView>
  </sheetViews>
  <sheetFormatPr defaultColWidth="9.140625" defaultRowHeight="12.75"/>
  <cols>
    <col min="1" max="1" width="6.140625" style="0" customWidth="1"/>
    <col min="2" max="11" width="17.00390625" style="0" customWidth="1"/>
    <col min="12" max="12" width="18.8515625" style="0" customWidth="1"/>
    <col min="13" max="13" width="18.7109375" style="0" customWidth="1"/>
    <col min="14" max="14" width="15.28125" style="0" customWidth="1"/>
    <col min="15" max="15" width="12.7109375" style="0" customWidth="1"/>
    <col min="16" max="16" width="16.140625" style="0" customWidth="1"/>
  </cols>
  <sheetData>
    <row r="1" spans="1:16" ht="1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1000" t="s">
        <v>678</v>
      </c>
      <c r="M1" s="1000"/>
      <c r="N1" s="99"/>
      <c r="O1" s="86"/>
      <c r="P1" s="86"/>
    </row>
    <row r="2" spans="1:16" ht="15.75">
      <c r="A2" s="1098" t="s">
        <v>0</v>
      </c>
      <c r="B2" s="1098"/>
      <c r="C2" s="1098"/>
      <c r="D2" s="1098"/>
      <c r="E2" s="1098"/>
      <c r="F2" s="1098"/>
      <c r="G2" s="1098"/>
      <c r="H2" s="1098"/>
      <c r="I2" s="1098"/>
      <c r="J2" s="1098"/>
      <c r="K2" s="1098"/>
      <c r="L2" s="1098"/>
      <c r="M2" s="1098"/>
      <c r="N2" s="86"/>
      <c r="O2" s="86"/>
      <c r="P2" s="86"/>
    </row>
    <row r="3" spans="1:16" ht="20.25">
      <c r="A3" s="952" t="s">
        <v>859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86"/>
      <c r="O3" s="86"/>
      <c r="P3" s="86"/>
    </row>
    <row r="4" spans="1:16" ht="12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ht="15.75">
      <c r="A5" s="953" t="s">
        <v>679</v>
      </c>
      <c r="B5" s="953"/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86"/>
      <c r="O5" s="86"/>
      <c r="P5" s="86"/>
    </row>
    <row r="6" spans="1:16" ht="12.7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16" ht="12.75">
      <c r="A7" s="898" t="s">
        <v>636</v>
      </c>
      <c r="B7" s="898"/>
      <c r="C7" s="31"/>
      <c r="D7" s="31"/>
      <c r="E7" s="31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spans="1:16" ht="18">
      <c r="A8" s="89"/>
      <c r="B8" s="89"/>
      <c r="C8" s="89"/>
      <c r="D8" s="89"/>
      <c r="E8" s="89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</row>
    <row r="9" spans="1:26" ht="19.5" customHeight="1">
      <c r="A9" s="1103" t="s">
        <v>2</v>
      </c>
      <c r="B9" s="1103" t="s">
        <v>3</v>
      </c>
      <c r="C9" s="1113" t="s">
        <v>126</v>
      </c>
      <c r="D9" s="1113"/>
      <c r="E9" s="1114"/>
      <c r="F9" s="1115" t="s">
        <v>127</v>
      </c>
      <c r="G9" s="1113"/>
      <c r="H9" s="1113"/>
      <c r="I9" s="1114"/>
      <c r="J9" s="1115" t="s">
        <v>213</v>
      </c>
      <c r="K9" s="1113"/>
      <c r="L9" s="1113"/>
      <c r="M9" s="1114"/>
      <c r="Y9" s="9"/>
      <c r="Z9" s="12"/>
    </row>
    <row r="10" spans="1:13" ht="45.75" customHeight="1">
      <c r="A10" s="1103"/>
      <c r="B10" s="1103"/>
      <c r="C10" s="254" t="s">
        <v>388</v>
      </c>
      <c r="D10" s="4" t="s">
        <v>386</v>
      </c>
      <c r="E10" s="254" t="s">
        <v>216</v>
      </c>
      <c r="F10" s="4" t="s">
        <v>384</v>
      </c>
      <c r="G10" s="254" t="s">
        <v>385</v>
      </c>
      <c r="H10" s="4" t="s">
        <v>386</v>
      </c>
      <c r="I10" s="254" t="s">
        <v>216</v>
      </c>
      <c r="J10" s="4" t="s">
        <v>387</v>
      </c>
      <c r="K10" s="254" t="s">
        <v>385</v>
      </c>
      <c r="L10" s="4" t="s">
        <v>386</v>
      </c>
      <c r="M10" s="5" t="s">
        <v>216</v>
      </c>
    </row>
    <row r="11" spans="1:13" s="14" customFormat="1" ht="12.7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</row>
    <row r="12" spans="1:17" s="14" customFormat="1" ht="19.5" customHeight="1">
      <c r="A12" s="638">
        <v>1</v>
      </c>
      <c r="B12" s="682" t="s">
        <v>841</v>
      </c>
      <c r="C12" s="415">
        <v>1976</v>
      </c>
      <c r="D12" s="415">
        <v>1976</v>
      </c>
      <c r="E12" s="683">
        <v>102224</v>
      </c>
      <c r="F12" s="687"/>
      <c r="G12" s="694"/>
      <c r="H12" s="694">
        <v>0</v>
      </c>
      <c r="I12" s="662">
        <v>0</v>
      </c>
      <c r="J12" s="29"/>
      <c r="K12" s="91"/>
      <c r="L12" s="91"/>
      <c r="M12" s="91"/>
      <c r="P12" s="14">
        <f>'AT-3'!G9-'AT_20_InformationCookingagency '!H12</f>
        <v>1976</v>
      </c>
      <c r="Q12" s="14">
        <f>O12-I12</f>
        <v>0</v>
      </c>
    </row>
    <row r="13" spans="1:17" s="14" customFormat="1" ht="15.75" customHeight="1">
      <c r="A13" s="638">
        <v>2</v>
      </c>
      <c r="B13" s="682" t="s">
        <v>833</v>
      </c>
      <c r="C13" s="415">
        <v>1965</v>
      </c>
      <c r="D13" s="415">
        <v>1965</v>
      </c>
      <c r="E13" s="683">
        <v>115933</v>
      </c>
      <c r="F13" s="687"/>
      <c r="G13" s="694"/>
      <c r="H13" s="694">
        <v>0</v>
      </c>
      <c r="I13" s="662">
        <v>0</v>
      </c>
      <c r="J13" s="29"/>
      <c r="K13" s="91"/>
      <c r="L13" s="91"/>
      <c r="M13" s="91"/>
      <c r="P13" s="14">
        <f>'AT-3'!G10-'AT_20_InformationCookingagency '!H13</f>
        <v>1965</v>
      </c>
      <c r="Q13" s="14">
        <f aca="true" t="shared" si="0" ref="Q13:Q38">O13-I13</f>
        <v>0</v>
      </c>
    </row>
    <row r="14" spans="1:17" s="14" customFormat="1" ht="15.75" customHeight="1">
      <c r="A14" s="638">
        <v>3</v>
      </c>
      <c r="B14" s="682" t="s">
        <v>839</v>
      </c>
      <c r="C14" s="415">
        <v>1813</v>
      </c>
      <c r="D14" s="415">
        <v>1813</v>
      </c>
      <c r="E14" s="683">
        <v>86100</v>
      </c>
      <c r="F14" s="688" t="s">
        <v>618</v>
      </c>
      <c r="G14" s="529">
        <v>1</v>
      </c>
      <c r="H14" s="681">
        <v>122</v>
      </c>
      <c r="I14" s="681">
        <v>10920</v>
      </c>
      <c r="J14" s="29"/>
      <c r="K14" s="91"/>
      <c r="L14" s="91"/>
      <c r="M14" s="91"/>
      <c r="P14" s="14">
        <f>'AT-3'!G11-'AT_20_InformationCookingagency '!I14</f>
        <v>-8985</v>
      </c>
      <c r="Q14" s="14" t="e">
        <f>O14-#REF!</f>
        <v>#REF!</v>
      </c>
    </row>
    <row r="15" spans="1:17" s="14" customFormat="1" ht="15.75" customHeight="1">
      <c r="A15" s="638">
        <v>4</v>
      </c>
      <c r="B15" s="682" t="s">
        <v>743</v>
      </c>
      <c r="C15" s="415">
        <v>2399</v>
      </c>
      <c r="D15" s="415">
        <v>2399</v>
      </c>
      <c r="E15" s="683">
        <v>232221</v>
      </c>
      <c r="F15" s="688" t="s">
        <v>614</v>
      </c>
      <c r="G15" s="529">
        <v>1</v>
      </c>
      <c r="H15" s="681">
        <v>104</v>
      </c>
      <c r="I15" s="681">
        <v>15323</v>
      </c>
      <c r="J15" s="29"/>
      <c r="K15" s="91"/>
      <c r="L15" s="91"/>
      <c r="M15" s="91"/>
      <c r="P15" s="14">
        <f>'AT-3'!G12-'AT_20_InformationCookingagency '!I15</f>
        <v>-12820</v>
      </c>
      <c r="Q15" s="14" t="e">
        <f>O15-#REF!</f>
        <v>#REF!</v>
      </c>
    </row>
    <row r="16" spans="1:17" s="14" customFormat="1" ht="15.75" customHeight="1">
      <c r="A16" s="638">
        <v>5</v>
      </c>
      <c r="B16" s="682" t="s">
        <v>748</v>
      </c>
      <c r="C16" s="415">
        <v>2904</v>
      </c>
      <c r="D16" s="415">
        <v>2904</v>
      </c>
      <c r="E16" s="683">
        <v>148912</v>
      </c>
      <c r="F16" s="687"/>
      <c r="G16" s="694"/>
      <c r="H16" s="694">
        <v>0</v>
      </c>
      <c r="I16" s="662">
        <v>0</v>
      </c>
      <c r="J16" s="29"/>
      <c r="K16" s="91"/>
      <c r="L16" s="91"/>
      <c r="M16" s="91"/>
      <c r="P16" s="14">
        <f>'AT-3'!G13-'AT_20_InformationCookingagency '!H16</f>
        <v>2904</v>
      </c>
      <c r="Q16" s="14">
        <f t="shared" si="0"/>
        <v>0</v>
      </c>
    </row>
    <row r="17" spans="1:17" s="14" customFormat="1" ht="15.75" customHeight="1">
      <c r="A17" s="638">
        <v>6</v>
      </c>
      <c r="B17" s="682" t="s">
        <v>747</v>
      </c>
      <c r="C17" s="415">
        <v>2657</v>
      </c>
      <c r="D17" s="415">
        <v>2657</v>
      </c>
      <c r="E17" s="683">
        <v>189108</v>
      </c>
      <c r="F17" s="689"/>
      <c r="G17" s="685"/>
      <c r="H17" s="684">
        <v>0</v>
      </c>
      <c r="I17" s="684">
        <v>0</v>
      </c>
      <c r="J17" s="348"/>
      <c r="K17" s="91"/>
      <c r="L17" s="91"/>
      <c r="M17" s="91"/>
      <c r="P17" s="14">
        <f>'AT-3'!G14-'AT_20_InformationCookingagency '!H17</f>
        <v>2657</v>
      </c>
      <c r="Q17" s="14">
        <f t="shared" si="0"/>
        <v>0</v>
      </c>
    </row>
    <row r="18" spans="1:17" s="14" customFormat="1" ht="22.5" customHeight="1">
      <c r="A18" s="638">
        <v>7</v>
      </c>
      <c r="B18" s="682" t="s">
        <v>737</v>
      </c>
      <c r="C18" s="415">
        <v>790</v>
      </c>
      <c r="D18" s="415">
        <v>790</v>
      </c>
      <c r="E18" s="683">
        <v>87413</v>
      </c>
      <c r="F18" s="688" t="s">
        <v>617</v>
      </c>
      <c r="G18" s="529">
        <v>1</v>
      </c>
      <c r="H18" s="681">
        <v>179</v>
      </c>
      <c r="I18" s="681">
        <v>25311</v>
      </c>
      <c r="J18" s="379"/>
      <c r="K18" s="91"/>
      <c r="L18" s="91"/>
      <c r="M18" s="91"/>
      <c r="P18" s="14">
        <f>'AT-3'!G15-'AT_20_InformationCookingagency '!I18</f>
        <v>-24342</v>
      </c>
      <c r="Q18" s="14" t="e">
        <f>O18-#REF!</f>
        <v>#REF!</v>
      </c>
    </row>
    <row r="19" spans="1:17" s="14" customFormat="1" ht="15.75" customHeight="1">
      <c r="A19" s="638">
        <v>8</v>
      </c>
      <c r="B19" s="682" t="s">
        <v>749</v>
      </c>
      <c r="C19" s="415">
        <v>1059</v>
      </c>
      <c r="D19" s="415">
        <v>1059</v>
      </c>
      <c r="E19" s="683">
        <v>137297</v>
      </c>
      <c r="F19" s="690"/>
      <c r="G19" s="529"/>
      <c r="H19" s="681">
        <v>220</v>
      </c>
      <c r="I19" s="681">
        <v>40195</v>
      </c>
      <c r="J19" s="91"/>
      <c r="K19" s="91"/>
      <c r="L19" s="91"/>
      <c r="M19" s="91"/>
      <c r="P19" s="14">
        <f>'AT-3'!G16-'AT_20_InformationCookingagency '!I19</f>
        <v>-38915</v>
      </c>
      <c r="Q19" s="14" t="e">
        <f>O19-#REF!</f>
        <v>#REF!</v>
      </c>
    </row>
    <row r="20" spans="1:17" s="14" customFormat="1" ht="20.25" customHeight="1">
      <c r="A20" s="638">
        <v>9</v>
      </c>
      <c r="B20" s="682" t="s">
        <v>834</v>
      </c>
      <c r="C20" s="415">
        <v>2192</v>
      </c>
      <c r="D20" s="415">
        <v>2192</v>
      </c>
      <c r="E20" s="683">
        <v>108536</v>
      </c>
      <c r="F20" s="691"/>
      <c r="G20" s="684"/>
      <c r="H20" s="695"/>
      <c r="I20" s="696"/>
      <c r="J20" s="91"/>
      <c r="K20" s="91"/>
      <c r="L20" s="91"/>
      <c r="M20" s="91"/>
      <c r="P20" s="14">
        <f>'AT-3'!G17-'AT_20_InformationCookingagency '!H20</f>
        <v>2192</v>
      </c>
      <c r="Q20" s="14">
        <f t="shared" si="0"/>
        <v>0</v>
      </c>
    </row>
    <row r="21" spans="1:17" s="14" customFormat="1" ht="18.75" customHeight="1">
      <c r="A21" s="638">
        <v>10</v>
      </c>
      <c r="B21" s="682" t="s">
        <v>739</v>
      </c>
      <c r="C21" s="415">
        <v>567</v>
      </c>
      <c r="D21" s="415">
        <v>567</v>
      </c>
      <c r="E21" s="683">
        <v>22756</v>
      </c>
      <c r="F21" s="691"/>
      <c r="G21" s="684"/>
      <c r="H21" s="695"/>
      <c r="I21" s="696"/>
      <c r="J21" s="91"/>
      <c r="K21" s="91"/>
      <c r="L21" s="91"/>
      <c r="M21" s="91"/>
      <c r="P21" s="14">
        <f>'AT-3'!G18-'AT_20_InformationCookingagency '!H21</f>
        <v>567</v>
      </c>
      <c r="Q21" s="14">
        <f t="shared" si="0"/>
        <v>0</v>
      </c>
    </row>
    <row r="22" spans="1:17" s="14" customFormat="1" ht="15.75" customHeight="1">
      <c r="A22" s="638">
        <v>11</v>
      </c>
      <c r="B22" s="682" t="s">
        <v>840</v>
      </c>
      <c r="C22" s="415">
        <v>983</v>
      </c>
      <c r="D22" s="415">
        <v>983</v>
      </c>
      <c r="E22" s="683">
        <v>35759</v>
      </c>
      <c r="F22" s="690"/>
      <c r="G22" s="686"/>
      <c r="H22" s="686">
        <v>0</v>
      </c>
      <c r="I22" s="686">
        <v>0</v>
      </c>
      <c r="J22" s="91"/>
      <c r="K22" s="91"/>
      <c r="L22" s="91"/>
      <c r="M22" s="91"/>
      <c r="P22" s="14">
        <f>'AT-3'!G19-'AT_20_InformationCookingagency '!H22</f>
        <v>983</v>
      </c>
      <c r="Q22" s="14">
        <f t="shared" si="0"/>
        <v>0</v>
      </c>
    </row>
    <row r="23" spans="1:17" s="14" customFormat="1" ht="15.75" customHeight="1">
      <c r="A23" s="638">
        <v>12</v>
      </c>
      <c r="B23" s="682" t="s">
        <v>837</v>
      </c>
      <c r="C23" s="415">
        <v>1835</v>
      </c>
      <c r="D23" s="415">
        <v>1835</v>
      </c>
      <c r="E23" s="683">
        <v>85976</v>
      </c>
      <c r="F23" s="690"/>
      <c r="G23" s="686"/>
      <c r="H23" s="686">
        <v>0</v>
      </c>
      <c r="I23" s="686">
        <v>0</v>
      </c>
      <c r="J23" s="91"/>
      <c r="K23" s="91"/>
      <c r="L23" s="91"/>
      <c r="M23" s="91"/>
      <c r="P23" s="14">
        <f>'AT-3'!G20-'AT_20_InformationCookingagency '!H23</f>
        <v>1835</v>
      </c>
      <c r="Q23" s="14">
        <f t="shared" si="0"/>
        <v>0</v>
      </c>
    </row>
    <row r="24" spans="1:17" s="14" customFormat="1" ht="15.75" customHeight="1">
      <c r="A24" s="638">
        <v>13</v>
      </c>
      <c r="B24" s="682" t="s">
        <v>831</v>
      </c>
      <c r="C24" s="415">
        <v>1239</v>
      </c>
      <c r="D24" s="415">
        <v>1239</v>
      </c>
      <c r="E24" s="683">
        <v>83594</v>
      </c>
      <c r="F24" s="690"/>
      <c r="G24" s="686"/>
      <c r="H24" s="686">
        <v>0</v>
      </c>
      <c r="I24" s="686">
        <v>0</v>
      </c>
      <c r="J24" s="91"/>
      <c r="K24" s="91"/>
      <c r="L24" s="91"/>
      <c r="M24" s="91"/>
      <c r="P24" s="14">
        <f>'AT-3'!G21-'AT_20_InformationCookingagency '!H24</f>
        <v>1239</v>
      </c>
      <c r="Q24" s="14">
        <f t="shared" si="0"/>
        <v>0</v>
      </c>
    </row>
    <row r="25" spans="1:17" s="14" customFormat="1" ht="15.75" customHeight="1">
      <c r="A25" s="638">
        <v>14</v>
      </c>
      <c r="B25" s="682" t="s">
        <v>740</v>
      </c>
      <c r="C25" s="415">
        <v>1133</v>
      </c>
      <c r="D25" s="415">
        <v>1133</v>
      </c>
      <c r="E25" s="683">
        <v>123615</v>
      </c>
      <c r="F25" s="690"/>
      <c r="G25" s="686"/>
      <c r="H25" s="686">
        <v>0</v>
      </c>
      <c r="I25" s="686">
        <v>0</v>
      </c>
      <c r="J25" s="91"/>
      <c r="K25" s="91"/>
      <c r="L25" s="91"/>
      <c r="M25" s="91"/>
      <c r="P25" s="14">
        <f>'AT-3'!G22-'AT_20_InformationCookingagency '!H25</f>
        <v>1133</v>
      </c>
      <c r="Q25" s="14">
        <f t="shared" si="0"/>
        <v>0</v>
      </c>
    </row>
    <row r="26" spans="1:17" ht="15.75" customHeight="1">
      <c r="A26" s="638">
        <v>15</v>
      </c>
      <c r="B26" s="682" t="s">
        <v>835</v>
      </c>
      <c r="C26" s="416">
        <v>1432</v>
      </c>
      <c r="D26" s="416">
        <v>1432</v>
      </c>
      <c r="E26" s="683">
        <v>81295</v>
      </c>
      <c r="F26" s="692"/>
      <c r="G26" s="685"/>
      <c r="H26" s="685">
        <v>0</v>
      </c>
      <c r="I26" s="685">
        <v>0</v>
      </c>
      <c r="J26" s="93"/>
      <c r="K26" s="93"/>
      <c r="L26" s="93"/>
      <c r="M26" s="93"/>
      <c r="N26" s="14"/>
      <c r="O26" s="14"/>
      <c r="P26" s="14">
        <f>'AT-3'!G23-'AT_20_InformationCookingagency '!H26</f>
        <v>1432</v>
      </c>
      <c r="Q26" s="14">
        <f t="shared" si="0"/>
        <v>0</v>
      </c>
    </row>
    <row r="27" spans="1:17" ht="15.75" customHeight="1">
      <c r="A27" s="638">
        <v>16</v>
      </c>
      <c r="B27" s="682" t="s">
        <v>832</v>
      </c>
      <c r="C27" s="416">
        <v>1830</v>
      </c>
      <c r="D27" s="416">
        <v>1830</v>
      </c>
      <c r="E27" s="683">
        <v>191259</v>
      </c>
      <c r="F27" s="692"/>
      <c r="G27" s="685"/>
      <c r="H27" s="686">
        <v>0</v>
      </c>
      <c r="I27" s="685">
        <v>0</v>
      </c>
      <c r="J27" s="93"/>
      <c r="K27" s="93"/>
      <c r="L27" s="93"/>
      <c r="M27" s="93"/>
      <c r="N27" s="14"/>
      <c r="O27" s="14"/>
      <c r="P27" s="14">
        <f>'AT-3'!G24-'AT_20_InformationCookingagency '!H27</f>
        <v>1830</v>
      </c>
      <c r="Q27" s="14">
        <f t="shared" si="0"/>
        <v>0</v>
      </c>
    </row>
    <row r="28" spans="1:17" ht="15.75" customHeight="1">
      <c r="A28" s="638">
        <v>17</v>
      </c>
      <c r="B28" s="682" t="s">
        <v>733</v>
      </c>
      <c r="C28" s="416">
        <v>1383</v>
      </c>
      <c r="D28" s="416">
        <v>1383</v>
      </c>
      <c r="E28" s="683">
        <v>70898</v>
      </c>
      <c r="F28" s="692"/>
      <c r="G28" s="685"/>
      <c r="H28" s="686">
        <v>0</v>
      </c>
      <c r="I28" s="685">
        <v>0</v>
      </c>
      <c r="J28" s="93"/>
      <c r="K28" s="93"/>
      <c r="L28" s="93"/>
      <c r="M28" s="93"/>
      <c r="N28" s="14"/>
      <c r="O28" s="14"/>
      <c r="P28" s="14">
        <f>'AT-3'!G25-'AT_20_InformationCookingagency '!H28</f>
        <v>1383</v>
      </c>
      <c r="Q28" s="14">
        <f t="shared" si="0"/>
        <v>0</v>
      </c>
    </row>
    <row r="29" spans="1:17" ht="15.75" customHeight="1">
      <c r="A29" s="638">
        <v>18</v>
      </c>
      <c r="B29" s="682" t="s">
        <v>735</v>
      </c>
      <c r="C29" s="416">
        <v>2342</v>
      </c>
      <c r="D29" s="416">
        <v>2342</v>
      </c>
      <c r="E29" s="683">
        <v>186645</v>
      </c>
      <c r="F29" s="692"/>
      <c r="G29" s="685"/>
      <c r="H29" s="686">
        <v>0</v>
      </c>
      <c r="I29" s="685">
        <v>0</v>
      </c>
      <c r="J29" s="93"/>
      <c r="K29" s="93"/>
      <c r="L29" s="93"/>
      <c r="M29" s="93"/>
      <c r="N29" s="14"/>
      <c r="O29" s="14"/>
      <c r="P29" s="14">
        <f>'AT-3'!G26-'AT_20_InformationCookingagency '!H29</f>
        <v>2342</v>
      </c>
      <c r="Q29" s="14">
        <f t="shared" si="0"/>
        <v>0</v>
      </c>
    </row>
    <row r="30" spans="1:17" ht="15.75" customHeight="1">
      <c r="A30" s="638">
        <v>19</v>
      </c>
      <c r="B30" s="682" t="s">
        <v>732</v>
      </c>
      <c r="C30" s="416">
        <v>2020</v>
      </c>
      <c r="D30" s="416">
        <v>2020</v>
      </c>
      <c r="E30" s="683">
        <v>127531</v>
      </c>
      <c r="F30" s="692"/>
      <c r="G30" s="685"/>
      <c r="H30" s="686">
        <v>0</v>
      </c>
      <c r="I30" s="685">
        <v>0</v>
      </c>
      <c r="J30" s="93"/>
      <c r="K30" s="93"/>
      <c r="L30" s="93"/>
      <c r="M30" s="93"/>
      <c r="N30" s="14"/>
      <c r="O30" s="14"/>
      <c r="P30" s="14">
        <f>'AT-3'!G27-'AT_20_InformationCookingagency '!H30</f>
        <v>2020</v>
      </c>
      <c r="Q30" s="14">
        <f t="shared" si="0"/>
        <v>0</v>
      </c>
    </row>
    <row r="31" spans="1:17" ht="15.75" customHeight="1">
      <c r="A31" s="638">
        <v>20</v>
      </c>
      <c r="B31" s="682" t="s">
        <v>836</v>
      </c>
      <c r="C31" s="416">
        <v>2266</v>
      </c>
      <c r="D31" s="416">
        <v>2266</v>
      </c>
      <c r="E31" s="683">
        <v>106490</v>
      </c>
      <c r="F31" s="692"/>
      <c r="G31" s="685"/>
      <c r="H31" s="685">
        <v>0</v>
      </c>
      <c r="I31" s="685">
        <v>0</v>
      </c>
      <c r="J31" s="93"/>
      <c r="K31" s="93"/>
      <c r="L31" s="93"/>
      <c r="M31" s="93"/>
      <c r="N31" s="14"/>
      <c r="O31" s="14"/>
      <c r="P31" s="14">
        <f>'AT-3'!G28-'AT_20_InformationCookingagency '!H31</f>
        <v>2266</v>
      </c>
      <c r="Q31" s="14">
        <f t="shared" si="0"/>
        <v>0</v>
      </c>
    </row>
    <row r="32" spans="1:17" ht="15.75" customHeight="1">
      <c r="A32" s="638">
        <v>21</v>
      </c>
      <c r="B32" s="682" t="s">
        <v>729</v>
      </c>
      <c r="C32" s="416">
        <v>1480</v>
      </c>
      <c r="D32" s="416">
        <v>1480</v>
      </c>
      <c r="E32" s="683">
        <v>129896</v>
      </c>
      <c r="F32" s="692"/>
      <c r="G32" s="685"/>
      <c r="H32" s="686">
        <v>0</v>
      </c>
      <c r="I32" s="685">
        <v>0</v>
      </c>
      <c r="J32" s="93"/>
      <c r="K32" s="93"/>
      <c r="L32" s="93"/>
      <c r="M32" s="93"/>
      <c r="N32" s="14"/>
      <c r="O32" s="14"/>
      <c r="P32" s="14">
        <f>'AT-3'!G29-'AT_20_InformationCookingagency '!H32</f>
        <v>1480</v>
      </c>
      <c r="Q32" s="14">
        <f t="shared" si="0"/>
        <v>0</v>
      </c>
    </row>
    <row r="33" spans="1:17" ht="15.75" customHeight="1">
      <c r="A33" s="638">
        <v>22</v>
      </c>
      <c r="B33" s="682" t="s">
        <v>746</v>
      </c>
      <c r="C33" s="416">
        <v>1808</v>
      </c>
      <c r="D33" s="416">
        <v>1808</v>
      </c>
      <c r="E33" s="683">
        <v>136864</v>
      </c>
      <c r="F33" s="692"/>
      <c r="G33" s="685"/>
      <c r="H33" s="686">
        <v>0</v>
      </c>
      <c r="I33" s="685">
        <v>0</v>
      </c>
      <c r="J33" s="93"/>
      <c r="K33" s="93"/>
      <c r="L33" s="93"/>
      <c r="M33" s="93"/>
      <c r="N33" s="14"/>
      <c r="O33" s="14"/>
      <c r="P33" s="14">
        <f>'AT-3'!G30-'AT_20_InformationCookingagency '!H33</f>
        <v>1808</v>
      </c>
      <c r="Q33" s="14">
        <f t="shared" si="0"/>
        <v>0</v>
      </c>
    </row>
    <row r="34" spans="1:17" ht="32.25" customHeight="1">
      <c r="A34" s="638">
        <v>23</v>
      </c>
      <c r="B34" s="682" t="s">
        <v>738</v>
      </c>
      <c r="C34" s="416">
        <v>1280</v>
      </c>
      <c r="D34" s="416">
        <v>1280</v>
      </c>
      <c r="E34" s="683">
        <v>77705</v>
      </c>
      <c r="F34" s="693" t="s">
        <v>615</v>
      </c>
      <c r="G34" s="529">
        <v>1</v>
      </c>
      <c r="H34" s="681">
        <v>56</v>
      </c>
      <c r="I34" s="681">
        <v>4076</v>
      </c>
      <c r="J34" s="93"/>
      <c r="K34" s="93"/>
      <c r="L34" s="93"/>
      <c r="M34" s="93"/>
      <c r="N34" s="14"/>
      <c r="O34" s="14"/>
      <c r="P34" s="14">
        <f>'AT-3'!G31-'AT_20_InformationCookingagency '!I34</f>
        <v>-2740</v>
      </c>
      <c r="Q34" s="14" t="e">
        <f>O34-#REF!</f>
        <v>#REF!</v>
      </c>
    </row>
    <row r="35" spans="1:17" ht="15.75" customHeight="1">
      <c r="A35" s="638">
        <v>24</v>
      </c>
      <c r="B35" s="682" t="s">
        <v>730</v>
      </c>
      <c r="C35" s="416">
        <v>2207</v>
      </c>
      <c r="D35" s="416">
        <v>2207</v>
      </c>
      <c r="E35" s="683">
        <v>90490</v>
      </c>
      <c r="F35" s="692"/>
      <c r="G35" s="685"/>
      <c r="H35" s="685">
        <v>0</v>
      </c>
      <c r="I35" s="685">
        <v>0</v>
      </c>
      <c r="J35" s="93"/>
      <c r="K35" s="93"/>
      <c r="L35" s="93"/>
      <c r="M35" s="93"/>
      <c r="N35" s="14"/>
      <c r="O35" s="14"/>
      <c r="P35" s="14">
        <f>'AT-3'!G32-'AT_20_InformationCookingagency '!H35</f>
        <v>2207</v>
      </c>
      <c r="Q35" s="14">
        <f t="shared" si="0"/>
        <v>0</v>
      </c>
    </row>
    <row r="36" spans="1:17" ht="21" customHeight="1">
      <c r="A36" s="638">
        <v>25</v>
      </c>
      <c r="B36" s="682" t="s">
        <v>736</v>
      </c>
      <c r="C36" s="416">
        <v>884</v>
      </c>
      <c r="D36" s="416">
        <v>884</v>
      </c>
      <c r="E36" s="683">
        <v>37484</v>
      </c>
      <c r="F36" s="691"/>
      <c r="G36" s="684"/>
      <c r="H36" s="695"/>
      <c r="I36" s="696"/>
      <c r="J36" s="93"/>
      <c r="K36" s="93"/>
      <c r="L36" s="93"/>
      <c r="M36" s="93"/>
      <c r="N36" s="14"/>
      <c r="O36" s="14"/>
      <c r="P36" s="14">
        <f>'AT-3'!G33-'AT_20_InformationCookingagency '!H36</f>
        <v>884</v>
      </c>
      <c r="Q36" s="14">
        <f t="shared" si="0"/>
        <v>0</v>
      </c>
    </row>
    <row r="37" spans="1:17" ht="15.75" customHeight="1">
      <c r="A37" s="638">
        <v>26</v>
      </c>
      <c r="B37" s="682" t="s">
        <v>744</v>
      </c>
      <c r="C37" s="416">
        <v>887</v>
      </c>
      <c r="D37" s="416">
        <v>887</v>
      </c>
      <c r="E37" s="683">
        <v>40567</v>
      </c>
      <c r="F37" s="692"/>
      <c r="G37" s="685"/>
      <c r="H37" s="685">
        <v>0</v>
      </c>
      <c r="I37" s="685">
        <v>0</v>
      </c>
      <c r="J37" s="93"/>
      <c r="K37" s="93"/>
      <c r="L37" s="93"/>
      <c r="M37" s="93"/>
      <c r="N37" s="14"/>
      <c r="O37" s="14"/>
      <c r="P37" s="14">
        <f>'AT-3'!G34-'AT_20_InformationCookingagency '!H37</f>
        <v>887</v>
      </c>
      <c r="Q37" s="14">
        <f t="shared" si="0"/>
        <v>0</v>
      </c>
    </row>
    <row r="38" spans="1:17" ht="15.75" customHeight="1">
      <c r="A38" s="638">
        <v>27</v>
      </c>
      <c r="B38" s="682" t="s">
        <v>838</v>
      </c>
      <c r="C38" s="416">
        <v>941</v>
      </c>
      <c r="D38" s="416">
        <v>941</v>
      </c>
      <c r="E38" s="683">
        <v>108730</v>
      </c>
      <c r="F38" s="692"/>
      <c r="G38" s="685"/>
      <c r="H38" s="685">
        <v>0</v>
      </c>
      <c r="I38" s="685">
        <v>0</v>
      </c>
      <c r="J38" s="93"/>
      <c r="K38" s="93"/>
      <c r="L38" s="93"/>
      <c r="M38" s="93"/>
      <c r="N38" s="14"/>
      <c r="O38" s="14"/>
      <c r="P38" s="14">
        <f>'AT-3'!G35-'AT_20_InformationCookingagency '!H38</f>
        <v>941</v>
      </c>
      <c r="Q38" s="14">
        <f t="shared" si="0"/>
        <v>0</v>
      </c>
    </row>
    <row r="39" spans="1:13" ht="12.75">
      <c r="A39" s="90" t="s">
        <v>19</v>
      </c>
      <c r="B39" s="346"/>
      <c r="C39" s="93">
        <f aca="true" t="shared" si="1" ref="C39:I39">SUM(C12:C38)</f>
        <v>44272</v>
      </c>
      <c r="D39" s="93">
        <f t="shared" si="1"/>
        <v>44272</v>
      </c>
      <c r="E39" s="93">
        <f t="shared" si="1"/>
        <v>2945298</v>
      </c>
      <c r="F39" s="93">
        <f t="shared" si="1"/>
        <v>0</v>
      </c>
      <c r="G39" s="697">
        <f t="shared" si="1"/>
        <v>4</v>
      </c>
      <c r="H39" s="697">
        <f t="shared" si="1"/>
        <v>681</v>
      </c>
      <c r="I39" s="697">
        <f t="shared" si="1"/>
        <v>95825</v>
      </c>
      <c r="J39" s="93"/>
      <c r="K39" s="93"/>
      <c r="L39" s="93"/>
      <c r="M39" s="93"/>
    </row>
    <row r="40" spans="1:16" ht="12.75">
      <c r="A40" s="94"/>
      <c r="B40" s="94"/>
      <c r="C40" s="94"/>
      <c r="D40" s="94"/>
      <c r="E40" s="94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1:16" ht="12.7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1:16" ht="12.7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4" spans="1:16" ht="12.75">
      <c r="A44" s="1104"/>
      <c r="B44" s="1104"/>
      <c r="C44" s="1104"/>
      <c r="D44" s="1104"/>
      <c r="E44" s="1104"/>
      <c r="F44" s="1104"/>
      <c r="G44" s="1104"/>
      <c r="H44" s="1104"/>
      <c r="I44" s="1104"/>
      <c r="J44" s="1104"/>
      <c r="K44" s="1104"/>
      <c r="L44" s="1104"/>
      <c r="M44" s="378"/>
      <c r="N44" s="1104"/>
      <c r="O44" s="1104"/>
      <c r="P44" s="1104"/>
    </row>
    <row r="45" spans="1:16" ht="12.7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1:16" ht="15.75">
      <c r="A46" s="97" t="s">
        <v>12</v>
      </c>
      <c r="B46" s="97"/>
      <c r="C46" s="97"/>
      <c r="D46" s="97"/>
      <c r="E46" s="97"/>
      <c r="F46" s="97"/>
      <c r="G46" s="97"/>
      <c r="H46" s="97"/>
      <c r="I46" s="97"/>
      <c r="J46" s="97"/>
      <c r="K46" s="928" t="s">
        <v>13</v>
      </c>
      <c r="L46" s="928"/>
      <c r="M46" s="928"/>
      <c r="N46" s="133"/>
      <c r="O46" s="86"/>
      <c r="P46" s="86"/>
    </row>
    <row r="47" spans="1:16" ht="15.75">
      <c r="A47" s="1112" t="s">
        <v>14</v>
      </c>
      <c r="B47" s="1112"/>
      <c r="C47" s="1112"/>
      <c r="D47" s="1112"/>
      <c r="E47" s="1112"/>
      <c r="F47" s="1112"/>
      <c r="G47" s="1112"/>
      <c r="H47" s="1112"/>
      <c r="I47" s="1112"/>
      <c r="J47" s="1112"/>
      <c r="K47" s="1112"/>
      <c r="L47" s="1112"/>
      <c r="M47" s="1112"/>
      <c r="N47" s="86"/>
      <c r="O47" s="86"/>
      <c r="P47" s="86"/>
    </row>
    <row r="48" spans="1:16" ht="15" customHeight="1">
      <c r="A48" s="1112" t="s">
        <v>15</v>
      </c>
      <c r="B48" s="1112"/>
      <c r="C48" s="1112"/>
      <c r="D48" s="1112"/>
      <c r="E48" s="1112"/>
      <c r="F48" s="1112"/>
      <c r="G48" s="1112"/>
      <c r="H48" s="1112"/>
      <c r="I48" s="1112"/>
      <c r="J48" s="1112"/>
      <c r="K48" s="1112"/>
      <c r="L48" s="1112"/>
      <c r="M48" s="1112"/>
      <c r="N48" s="133"/>
      <c r="O48" s="86"/>
      <c r="P48" s="86"/>
    </row>
    <row r="49" spans="1:16" ht="12.75">
      <c r="A49" s="86"/>
      <c r="B49" s="86"/>
      <c r="C49" s="86"/>
      <c r="D49" s="86"/>
      <c r="E49" s="86"/>
      <c r="F49" s="86"/>
      <c r="G49" s="86"/>
      <c r="L49" s="35" t="s">
        <v>84</v>
      </c>
      <c r="M49" s="35"/>
      <c r="N49" s="35"/>
      <c r="O49" s="35"/>
      <c r="P49" s="35"/>
    </row>
  </sheetData>
  <sheetProtection/>
  <mergeCells count="15">
    <mergeCell ref="A9:A10"/>
    <mergeCell ref="B9:B10"/>
    <mergeCell ref="C9:E9"/>
    <mergeCell ref="F9:I9"/>
    <mergeCell ref="J9:M9"/>
    <mergeCell ref="A44:L44"/>
    <mergeCell ref="N44:P44"/>
    <mergeCell ref="K46:M46"/>
    <mergeCell ref="A47:M47"/>
    <mergeCell ref="A48:M48"/>
    <mergeCell ref="L1:M1"/>
    <mergeCell ref="A2:M2"/>
    <mergeCell ref="A3:M3"/>
    <mergeCell ref="A5:M5"/>
    <mergeCell ref="A7:B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2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L43"/>
  <sheetViews>
    <sheetView view="pageBreakPreview" zoomScale="84" zoomScaleSheetLayoutView="84" zoomScalePageLayoutView="0" workbookViewId="0" topLeftCell="A1">
      <selection activeCell="B9" sqref="B9:B35"/>
    </sheetView>
  </sheetViews>
  <sheetFormatPr defaultColWidth="9.140625" defaultRowHeight="12.75"/>
  <cols>
    <col min="1" max="1" width="5.8515625" style="0" customWidth="1"/>
    <col min="2" max="2" width="14.7109375" style="0" customWidth="1"/>
    <col min="6" max="6" width="13.421875" style="0" customWidth="1"/>
    <col min="7" max="7" width="14.8515625" style="0" customWidth="1"/>
    <col min="8" max="8" width="12.421875" style="0" customWidth="1"/>
    <col min="9" max="9" width="15.28125" style="0" customWidth="1"/>
    <col min="10" max="10" width="14.28125" style="0" customWidth="1"/>
    <col min="11" max="11" width="13.8515625" style="0" customWidth="1"/>
    <col min="12" max="12" width="9.140625" style="0" hidden="1" customWidth="1"/>
  </cols>
  <sheetData>
    <row r="1" spans="1:11" ht="18">
      <c r="A1" s="958" t="s">
        <v>0</v>
      </c>
      <c r="B1" s="958"/>
      <c r="C1" s="958"/>
      <c r="D1" s="958"/>
      <c r="E1" s="958"/>
      <c r="F1" s="958"/>
      <c r="G1" s="958"/>
      <c r="H1" s="958"/>
      <c r="I1" s="958"/>
      <c r="J1" s="1117" t="s">
        <v>680</v>
      </c>
      <c r="K1" s="1117"/>
    </row>
    <row r="2" spans="1:11" ht="21">
      <c r="A2" s="959" t="s">
        <v>859</v>
      </c>
      <c r="B2" s="959"/>
      <c r="C2" s="959"/>
      <c r="D2" s="959"/>
      <c r="E2" s="959"/>
      <c r="F2" s="959"/>
      <c r="G2" s="959"/>
      <c r="H2" s="959"/>
      <c r="I2" s="959"/>
      <c r="J2" s="959"/>
      <c r="K2" s="959"/>
    </row>
    <row r="3" spans="1:11" ht="1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5">
      <c r="A4" s="1118" t="s">
        <v>681</v>
      </c>
      <c r="B4" s="1118"/>
      <c r="C4" s="1118"/>
      <c r="D4" s="1118"/>
      <c r="E4" s="1118"/>
      <c r="F4" s="1118"/>
      <c r="G4" s="1118"/>
      <c r="H4" s="1118"/>
      <c r="I4" s="1118"/>
      <c r="J4" s="1118"/>
      <c r="K4" s="1118"/>
    </row>
    <row r="5" spans="1:12" ht="15">
      <c r="A5" s="192" t="s">
        <v>706</v>
      </c>
      <c r="B5" s="192"/>
      <c r="C5" s="192"/>
      <c r="D5" s="192"/>
      <c r="E5" s="192"/>
      <c r="F5" s="192"/>
      <c r="G5" s="192"/>
      <c r="H5" s="192"/>
      <c r="I5" s="191"/>
      <c r="J5" s="1034" t="s">
        <v>906</v>
      </c>
      <c r="K5" s="1034"/>
      <c r="L5" s="1034"/>
    </row>
    <row r="6" spans="1:11" ht="32.25" customHeight="1">
      <c r="A6" s="1036" t="s">
        <v>2</v>
      </c>
      <c r="B6" s="1036" t="s">
        <v>3</v>
      </c>
      <c r="C6" s="1036" t="s">
        <v>682</v>
      </c>
      <c r="D6" s="1036" t="s">
        <v>683</v>
      </c>
      <c r="E6" s="1036"/>
      <c r="F6" s="1036"/>
      <c r="G6" s="1036"/>
      <c r="H6" s="1036"/>
      <c r="I6" s="1037" t="s">
        <v>684</v>
      </c>
      <c r="J6" s="1038"/>
      <c r="K6" s="1039"/>
    </row>
    <row r="7" spans="1:11" ht="90" customHeight="1">
      <c r="A7" s="1036"/>
      <c r="B7" s="1036"/>
      <c r="C7" s="1036"/>
      <c r="D7" s="383" t="s">
        <v>685</v>
      </c>
      <c r="E7" s="383" t="s">
        <v>216</v>
      </c>
      <c r="F7" s="383" t="s">
        <v>686</v>
      </c>
      <c r="G7" s="383" t="s">
        <v>687</v>
      </c>
      <c r="H7" s="383" t="s">
        <v>726</v>
      </c>
      <c r="I7" s="383" t="s">
        <v>688</v>
      </c>
      <c r="J7" s="383" t="s">
        <v>689</v>
      </c>
      <c r="K7" s="383" t="s">
        <v>690</v>
      </c>
    </row>
    <row r="8" spans="1:11" ht="15">
      <c r="A8" s="194" t="s">
        <v>282</v>
      </c>
      <c r="B8" s="194" t="s">
        <v>283</v>
      </c>
      <c r="C8" s="194" t="s">
        <v>284</v>
      </c>
      <c r="D8" s="194" t="s">
        <v>285</v>
      </c>
      <c r="E8" s="194" t="s">
        <v>286</v>
      </c>
      <c r="F8" s="194" t="s">
        <v>287</v>
      </c>
      <c r="G8" s="194" t="s">
        <v>288</v>
      </c>
      <c r="H8" s="194" t="s">
        <v>289</v>
      </c>
      <c r="I8" s="194" t="s">
        <v>298</v>
      </c>
      <c r="J8" s="194" t="s">
        <v>299</v>
      </c>
      <c r="K8" s="194" t="s">
        <v>300</v>
      </c>
    </row>
    <row r="9" spans="1:11" ht="16.5">
      <c r="A9" s="262">
        <v>1</v>
      </c>
      <c r="B9" s="682" t="s">
        <v>841</v>
      </c>
      <c r="C9" s="426">
        <v>0</v>
      </c>
      <c r="D9" s="421">
        <v>0</v>
      </c>
      <c r="E9" s="662">
        <v>0</v>
      </c>
      <c r="F9" s="427">
        <v>0</v>
      </c>
      <c r="G9" s="425">
        <v>0</v>
      </c>
      <c r="H9" s="428">
        <f aca="true" t="shared" si="0" ref="H9:H35">SUM(F9:G9)</f>
        <v>0</v>
      </c>
      <c r="I9" s="431">
        <f>F9*7*1200/100000</f>
        <v>0</v>
      </c>
      <c r="J9" s="519">
        <v>0</v>
      </c>
      <c r="K9" s="9"/>
    </row>
    <row r="10" spans="1:11" ht="16.5">
      <c r="A10" s="260">
        <v>2</v>
      </c>
      <c r="B10" s="682" t="s">
        <v>833</v>
      </c>
      <c r="C10" s="426">
        <v>0</v>
      </c>
      <c r="D10" s="420">
        <v>0</v>
      </c>
      <c r="E10" s="662">
        <v>0</v>
      </c>
      <c r="F10" s="426">
        <v>0</v>
      </c>
      <c r="G10" s="428">
        <v>0</v>
      </c>
      <c r="H10" s="428">
        <f t="shared" si="0"/>
        <v>0</v>
      </c>
      <c r="I10" s="431">
        <f>F10*7*1200/100000</f>
        <v>0</v>
      </c>
      <c r="J10" s="518">
        <v>0</v>
      </c>
      <c r="K10" s="194"/>
    </row>
    <row r="11" spans="1:11" ht="16.5">
      <c r="A11" s="260">
        <v>3</v>
      </c>
      <c r="B11" s="682" t="s">
        <v>839</v>
      </c>
      <c r="C11" s="426">
        <v>1</v>
      </c>
      <c r="D11" s="698">
        <v>123</v>
      </c>
      <c r="E11" s="681">
        <v>10920</v>
      </c>
      <c r="F11" s="427">
        <v>34</v>
      </c>
      <c r="G11" s="425">
        <v>147</v>
      </c>
      <c r="H11" s="428">
        <f t="shared" si="0"/>
        <v>181</v>
      </c>
      <c r="I11" s="431">
        <f>F11*10*1200/100000</f>
        <v>4.08</v>
      </c>
      <c r="J11" s="519">
        <v>18.798</v>
      </c>
      <c r="K11" s="9"/>
    </row>
    <row r="12" spans="1:11" ht="16.5">
      <c r="A12" s="260">
        <v>4</v>
      </c>
      <c r="B12" s="682" t="s">
        <v>743</v>
      </c>
      <c r="C12" s="426">
        <v>1</v>
      </c>
      <c r="D12" s="698">
        <v>103</v>
      </c>
      <c r="E12" s="681">
        <v>15323</v>
      </c>
      <c r="F12" s="426">
        <v>41</v>
      </c>
      <c r="G12" s="428">
        <v>150</v>
      </c>
      <c r="H12" s="428">
        <f t="shared" si="0"/>
        <v>191</v>
      </c>
      <c r="I12" s="431">
        <f>F12*10*1200/100000</f>
        <v>4.92</v>
      </c>
      <c r="J12" s="518">
        <v>17.466</v>
      </c>
      <c r="K12" s="194"/>
    </row>
    <row r="13" spans="1:11" ht="16.5">
      <c r="A13" s="260">
        <v>5</v>
      </c>
      <c r="B13" s="682" t="s">
        <v>748</v>
      </c>
      <c r="C13" s="426">
        <v>0</v>
      </c>
      <c r="D13" s="423">
        <v>0</v>
      </c>
      <c r="E13" s="662">
        <v>0</v>
      </c>
      <c r="F13" s="427">
        <v>0</v>
      </c>
      <c r="G13" s="428">
        <v>0</v>
      </c>
      <c r="H13" s="428">
        <f t="shared" si="0"/>
        <v>0</v>
      </c>
      <c r="I13" s="431">
        <f>F13*7*1200/100000</f>
        <v>0</v>
      </c>
      <c r="J13" s="519">
        <v>0</v>
      </c>
      <c r="K13" s="9"/>
    </row>
    <row r="14" spans="1:11" ht="16.5">
      <c r="A14" s="260">
        <v>6</v>
      </c>
      <c r="B14" s="682" t="s">
        <v>747</v>
      </c>
      <c r="C14" s="426">
        <v>0</v>
      </c>
      <c r="D14" s="421">
        <v>0</v>
      </c>
      <c r="E14" s="684">
        <v>0</v>
      </c>
      <c r="F14" s="427">
        <v>0</v>
      </c>
      <c r="G14" s="425">
        <v>0</v>
      </c>
      <c r="H14" s="428">
        <f t="shared" si="0"/>
        <v>0</v>
      </c>
      <c r="I14" s="431">
        <f>F14*7*1200/100000</f>
        <v>0</v>
      </c>
      <c r="J14" s="519">
        <v>0</v>
      </c>
      <c r="K14" s="9"/>
    </row>
    <row r="15" spans="1:11" ht="16.5" customHeight="1">
      <c r="A15" s="260">
        <v>7</v>
      </c>
      <c r="B15" s="682" t="s">
        <v>737</v>
      </c>
      <c r="C15" s="426">
        <v>1</v>
      </c>
      <c r="D15" s="422">
        <v>172</v>
      </c>
      <c r="E15" s="681">
        <v>25311</v>
      </c>
      <c r="F15" s="426">
        <v>71</v>
      </c>
      <c r="G15" s="428">
        <v>51</v>
      </c>
      <c r="H15" s="428">
        <f t="shared" si="0"/>
        <v>122</v>
      </c>
      <c r="I15" s="431">
        <f>F15*10*1200/100000</f>
        <v>8.52</v>
      </c>
      <c r="J15" s="518">
        <v>9.2348</v>
      </c>
      <c r="K15" s="194"/>
    </row>
    <row r="16" spans="1:11" ht="16.5">
      <c r="A16" s="260">
        <v>8</v>
      </c>
      <c r="B16" s="682" t="s">
        <v>749</v>
      </c>
      <c r="C16" s="426">
        <v>1</v>
      </c>
      <c r="D16" s="698">
        <v>226</v>
      </c>
      <c r="E16" s="681">
        <v>40195</v>
      </c>
      <c r="F16" s="427">
        <v>110</v>
      </c>
      <c r="G16" s="425">
        <v>372</v>
      </c>
      <c r="H16" s="428">
        <f t="shared" si="0"/>
        <v>482</v>
      </c>
      <c r="I16" s="431">
        <f>F16*10*1200/100000</f>
        <v>13.2</v>
      </c>
      <c r="J16" s="519">
        <v>54.936</v>
      </c>
      <c r="K16" s="9"/>
    </row>
    <row r="17" spans="1:11" ht="16.5">
      <c r="A17" s="260">
        <v>9</v>
      </c>
      <c r="B17" s="682" t="s">
        <v>834</v>
      </c>
      <c r="C17" s="426">
        <v>0</v>
      </c>
      <c r="D17" s="700">
        <v>0</v>
      </c>
      <c r="E17" s="696"/>
      <c r="F17" s="426">
        <v>0</v>
      </c>
      <c r="G17" s="428">
        <v>0</v>
      </c>
      <c r="H17" s="428">
        <f t="shared" si="0"/>
        <v>0</v>
      </c>
      <c r="I17" s="431">
        <f aca="true" t="shared" si="1" ref="I17:I30">F17*7*1200/100000</f>
        <v>0</v>
      </c>
      <c r="J17" s="518">
        <v>0</v>
      </c>
      <c r="K17" s="194"/>
    </row>
    <row r="18" spans="1:11" ht="16.5">
      <c r="A18" s="260">
        <v>10</v>
      </c>
      <c r="B18" s="682" t="s">
        <v>739</v>
      </c>
      <c r="C18" s="426">
        <v>0</v>
      </c>
      <c r="D18" s="699">
        <v>0</v>
      </c>
      <c r="E18" s="696"/>
      <c r="F18" s="427">
        <v>0</v>
      </c>
      <c r="G18" s="428">
        <v>0</v>
      </c>
      <c r="H18" s="428">
        <f t="shared" si="0"/>
        <v>0</v>
      </c>
      <c r="I18" s="431">
        <f t="shared" si="1"/>
        <v>0</v>
      </c>
      <c r="J18" s="519">
        <v>0</v>
      </c>
      <c r="K18" s="9"/>
    </row>
    <row r="19" spans="1:11" ht="16.5">
      <c r="A19" s="260">
        <v>11</v>
      </c>
      <c r="B19" s="682" t="s">
        <v>840</v>
      </c>
      <c r="C19" s="426">
        <v>0</v>
      </c>
      <c r="D19" s="421">
        <v>0</v>
      </c>
      <c r="E19" s="686">
        <v>0</v>
      </c>
      <c r="F19" s="427">
        <v>0</v>
      </c>
      <c r="G19" s="425">
        <v>0</v>
      </c>
      <c r="H19" s="428">
        <f t="shared" si="0"/>
        <v>0</v>
      </c>
      <c r="I19" s="431">
        <f t="shared" si="1"/>
        <v>0</v>
      </c>
      <c r="J19" s="519">
        <v>0</v>
      </c>
      <c r="K19" s="9"/>
    </row>
    <row r="20" spans="1:11" ht="16.5">
      <c r="A20" s="260">
        <v>12</v>
      </c>
      <c r="B20" s="682" t="s">
        <v>837</v>
      </c>
      <c r="C20" s="426">
        <v>0</v>
      </c>
      <c r="D20" s="423">
        <v>0</v>
      </c>
      <c r="E20" s="686">
        <v>0</v>
      </c>
      <c r="F20" s="427">
        <v>0</v>
      </c>
      <c r="G20" s="428">
        <v>0</v>
      </c>
      <c r="H20" s="428">
        <f t="shared" si="0"/>
        <v>0</v>
      </c>
      <c r="I20" s="431">
        <f t="shared" si="1"/>
        <v>0</v>
      </c>
      <c r="J20" s="519">
        <v>0</v>
      </c>
      <c r="K20" s="9"/>
    </row>
    <row r="21" spans="1:11" ht="16.5">
      <c r="A21" s="260">
        <v>13</v>
      </c>
      <c r="B21" s="682" t="s">
        <v>831</v>
      </c>
      <c r="C21" s="426">
        <v>0</v>
      </c>
      <c r="D21" s="420">
        <v>0</v>
      </c>
      <c r="E21" s="686">
        <v>0</v>
      </c>
      <c r="F21" s="426">
        <v>0</v>
      </c>
      <c r="G21" s="428">
        <v>0</v>
      </c>
      <c r="H21" s="428">
        <f t="shared" si="0"/>
        <v>0</v>
      </c>
      <c r="I21" s="431">
        <f t="shared" si="1"/>
        <v>0</v>
      </c>
      <c r="J21" s="518">
        <v>0</v>
      </c>
      <c r="K21" s="194"/>
    </row>
    <row r="22" spans="1:11" ht="16.5">
      <c r="A22" s="260">
        <v>14</v>
      </c>
      <c r="B22" s="682" t="s">
        <v>740</v>
      </c>
      <c r="C22" s="426">
        <v>0</v>
      </c>
      <c r="D22" s="420">
        <v>0</v>
      </c>
      <c r="E22" s="686">
        <v>0</v>
      </c>
      <c r="F22" s="426">
        <v>0</v>
      </c>
      <c r="G22" s="428">
        <v>0</v>
      </c>
      <c r="H22" s="428">
        <f t="shared" si="0"/>
        <v>0</v>
      </c>
      <c r="I22" s="431">
        <f t="shared" si="1"/>
        <v>0</v>
      </c>
      <c r="J22" s="518">
        <v>0</v>
      </c>
      <c r="K22" s="194"/>
    </row>
    <row r="23" spans="1:11" ht="16.5">
      <c r="A23" s="260">
        <v>15</v>
      </c>
      <c r="B23" s="682" t="s">
        <v>835</v>
      </c>
      <c r="C23" s="426">
        <v>0</v>
      </c>
      <c r="D23" s="423">
        <v>0</v>
      </c>
      <c r="E23" s="685">
        <v>0</v>
      </c>
      <c r="F23" s="426">
        <v>0</v>
      </c>
      <c r="G23" s="428">
        <v>0</v>
      </c>
      <c r="H23" s="428">
        <f t="shared" si="0"/>
        <v>0</v>
      </c>
      <c r="I23" s="431">
        <f t="shared" si="1"/>
        <v>0</v>
      </c>
      <c r="J23" s="518">
        <v>0</v>
      </c>
      <c r="K23" s="194"/>
    </row>
    <row r="24" spans="1:11" ht="16.5">
      <c r="A24" s="260">
        <v>16</v>
      </c>
      <c r="B24" s="682" t="s">
        <v>832</v>
      </c>
      <c r="C24" s="426">
        <v>0</v>
      </c>
      <c r="D24" s="420">
        <v>0</v>
      </c>
      <c r="E24" s="685">
        <v>0</v>
      </c>
      <c r="F24" s="426">
        <v>0</v>
      </c>
      <c r="G24" s="428">
        <v>0</v>
      </c>
      <c r="H24" s="428">
        <f t="shared" si="0"/>
        <v>0</v>
      </c>
      <c r="I24" s="431">
        <f t="shared" si="1"/>
        <v>0</v>
      </c>
      <c r="J24" s="518">
        <v>0</v>
      </c>
      <c r="K24" s="194"/>
    </row>
    <row r="25" spans="1:11" ht="16.5">
      <c r="A25" s="260">
        <v>17</v>
      </c>
      <c r="B25" s="682" t="s">
        <v>733</v>
      </c>
      <c r="C25" s="426">
        <v>0</v>
      </c>
      <c r="D25" s="423">
        <v>0</v>
      </c>
      <c r="E25" s="685">
        <v>0</v>
      </c>
      <c r="F25" s="427">
        <v>0</v>
      </c>
      <c r="G25" s="428">
        <v>0</v>
      </c>
      <c r="H25" s="428">
        <f t="shared" si="0"/>
        <v>0</v>
      </c>
      <c r="I25" s="431">
        <f t="shared" si="1"/>
        <v>0</v>
      </c>
      <c r="J25" s="519">
        <v>0</v>
      </c>
      <c r="K25" s="9"/>
    </row>
    <row r="26" spans="1:11" ht="16.5">
      <c r="A26" s="260">
        <v>18</v>
      </c>
      <c r="B26" s="682" t="s">
        <v>735</v>
      </c>
      <c r="C26" s="426">
        <v>0</v>
      </c>
      <c r="D26" s="423">
        <v>0</v>
      </c>
      <c r="E26" s="685">
        <v>0</v>
      </c>
      <c r="F26" s="426">
        <v>0</v>
      </c>
      <c r="G26" s="428">
        <v>0</v>
      </c>
      <c r="H26" s="428">
        <f t="shared" si="0"/>
        <v>0</v>
      </c>
      <c r="I26" s="431">
        <f t="shared" si="1"/>
        <v>0</v>
      </c>
      <c r="J26" s="518">
        <v>0</v>
      </c>
      <c r="K26" s="194"/>
    </row>
    <row r="27" spans="1:11" ht="16.5">
      <c r="A27" s="260">
        <v>19</v>
      </c>
      <c r="B27" s="682" t="s">
        <v>732</v>
      </c>
      <c r="C27" s="426">
        <v>0</v>
      </c>
      <c r="D27" s="423">
        <v>0</v>
      </c>
      <c r="E27" s="685">
        <v>0</v>
      </c>
      <c r="F27" s="427">
        <v>0</v>
      </c>
      <c r="G27" s="428">
        <v>0</v>
      </c>
      <c r="H27" s="428">
        <f t="shared" si="0"/>
        <v>0</v>
      </c>
      <c r="I27" s="431">
        <f t="shared" si="1"/>
        <v>0</v>
      </c>
      <c r="J27" s="519">
        <v>0</v>
      </c>
      <c r="K27" s="9"/>
    </row>
    <row r="28" spans="1:11" ht="16.5">
      <c r="A28" s="260">
        <v>20</v>
      </c>
      <c r="B28" s="682" t="s">
        <v>836</v>
      </c>
      <c r="C28" s="426">
        <v>0</v>
      </c>
      <c r="D28" s="423">
        <v>0</v>
      </c>
      <c r="E28" s="685">
        <v>0</v>
      </c>
      <c r="F28" s="426">
        <v>0</v>
      </c>
      <c r="G28" s="428">
        <v>0</v>
      </c>
      <c r="H28" s="428">
        <f t="shared" si="0"/>
        <v>0</v>
      </c>
      <c r="I28" s="431">
        <f t="shared" si="1"/>
        <v>0</v>
      </c>
      <c r="J28" s="518">
        <v>0</v>
      </c>
      <c r="K28" s="194"/>
    </row>
    <row r="29" spans="1:11" ht="16.5">
      <c r="A29" s="260">
        <v>21</v>
      </c>
      <c r="B29" s="682" t="s">
        <v>729</v>
      </c>
      <c r="C29" s="426">
        <v>0</v>
      </c>
      <c r="D29" s="421">
        <v>0</v>
      </c>
      <c r="E29" s="685">
        <v>0</v>
      </c>
      <c r="F29" s="427">
        <v>0</v>
      </c>
      <c r="G29" s="428">
        <v>0</v>
      </c>
      <c r="H29" s="428">
        <f t="shared" si="0"/>
        <v>0</v>
      </c>
      <c r="I29" s="431">
        <f t="shared" si="1"/>
        <v>0</v>
      </c>
      <c r="J29" s="519">
        <v>0</v>
      </c>
      <c r="K29" s="9"/>
    </row>
    <row r="30" spans="1:11" ht="16.5">
      <c r="A30" s="260">
        <v>22</v>
      </c>
      <c r="B30" s="682" t="s">
        <v>746</v>
      </c>
      <c r="C30" s="426">
        <v>0</v>
      </c>
      <c r="D30" s="423">
        <v>0</v>
      </c>
      <c r="E30" s="685">
        <v>0</v>
      </c>
      <c r="F30" s="427">
        <v>0</v>
      </c>
      <c r="G30" s="428">
        <v>0</v>
      </c>
      <c r="H30" s="428">
        <f t="shared" si="0"/>
        <v>0</v>
      </c>
      <c r="I30" s="431">
        <f t="shared" si="1"/>
        <v>0</v>
      </c>
      <c r="J30" s="519">
        <v>0</v>
      </c>
      <c r="K30" s="9"/>
    </row>
    <row r="31" spans="1:11" ht="16.5">
      <c r="A31" s="260">
        <v>23</v>
      </c>
      <c r="B31" s="682" t="s">
        <v>738</v>
      </c>
      <c r="C31" s="426">
        <v>1</v>
      </c>
      <c r="D31" s="424">
        <v>54</v>
      </c>
      <c r="E31" s="681">
        <v>4076</v>
      </c>
      <c r="F31" s="426">
        <v>15</v>
      </c>
      <c r="G31" s="428">
        <v>62</v>
      </c>
      <c r="H31" s="428">
        <f t="shared" si="0"/>
        <v>77</v>
      </c>
      <c r="I31" s="431">
        <f>F31*10*1200/100000</f>
        <v>1.8</v>
      </c>
      <c r="J31" s="518">
        <v>6.9082</v>
      </c>
      <c r="K31" s="194"/>
    </row>
    <row r="32" spans="1:11" ht="16.5">
      <c r="A32" s="260">
        <v>24</v>
      </c>
      <c r="B32" s="682" t="s">
        <v>730</v>
      </c>
      <c r="C32" s="426">
        <v>0</v>
      </c>
      <c r="D32" s="423">
        <v>0</v>
      </c>
      <c r="E32" s="685">
        <v>0</v>
      </c>
      <c r="F32" s="426">
        <v>0</v>
      </c>
      <c r="G32" s="428">
        <v>0</v>
      </c>
      <c r="H32" s="428">
        <f t="shared" si="0"/>
        <v>0</v>
      </c>
      <c r="I32" s="431">
        <f>F32*7*1200/100000</f>
        <v>0</v>
      </c>
      <c r="J32" s="518">
        <v>0</v>
      </c>
      <c r="K32" s="194"/>
    </row>
    <row r="33" spans="1:11" ht="16.5">
      <c r="A33" s="260">
        <v>25</v>
      </c>
      <c r="B33" s="682" t="s">
        <v>736</v>
      </c>
      <c r="C33" s="426">
        <v>0</v>
      </c>
      <c r="D33" s="699">
        <v>0</v>
      </c>
      <c r="E33" s="696"/>
      <c r="F33" s="426">
        <v>0</v>
      </c>
      <c r="G33" s="428">
        <v>0</v>
      </c>
      <c r="H33" s="428">
        <f t="shared" si="0"/>
        <v>0</v>
      </c>
      <c r="I33" s="431">
        <f>F33*7*1200/100000</f>
        <v>0</v>
      </c>
      <c r="J33" s="518">
        <v>0</v>
      </c>
      <c r="K33" s="194"/>
    </row>
    <row r="34" spans="1:11" ht="16.5">
      <c r="A34" s="260">
        <v>26</v>
      </c>
      <c r="B34" s="682" t="s">
        <v>744</v>
      </c>
      <c r="C34" s="426">
        <v>0</v>
      </c>
      <c r="D34" s="421">
        <v>0</v>
      </c>
      <c r="E34" s="685">
        <v>0</v>
      </c>
      <c r="F34" s="426">
        <v>0</v>
      </c>
      <c r="G34" s="428">
        <v>0</v>
      </c>
      <c r="H34" s="428">
        <f t="shared" si="0"/>
        <v>0</v>
      </c>
      <c r="I34" s="431">
        <f>F34*7*1200/100000</f>
        <v>0</v>
      </c>
      <c r="J34" s="518">
        <v>0</v>
      </c>
      <c r="K34" s="194"/>
    </row>
    <row r="35" spans="1:11" ht="16.5">
      <c r="A35" s="262">
        <v>27</v>
      </c>
      <c r="B35" s="682" t="s">
        <v>838</v>
      </c>
      <c r="C35" s="426">
        <v>0</v>
      </c>
      <c r="D35" s="421">
        <v>0</v>
      </c>
      <c r="E35" s="685">
        <v>0</v>
      </c>
      <c r="F35" s="427">
        <v>0</v>
      </c>
      <c r="G35" s="428">
        <v>0</v>
      </c>
      <c r="H35" s="428">
        <f t="shared" si="0"/>
        <v>0</v>
      </c>
      <c r="I35" s="431">
        <f>F35*7*1200/100000</f>
        <v>0</v>
      </c>
      <c r="J35" s="519">
        <v>0</v>
      </c>
      <c r="K35" s="9"/>
    </row>
    <row r="36" spans="1:11" ht="17.25" customHeight="1">
      <c r="A36" s="29" t="s">
        <v>19</v>
      </c>
      <c r="B36" s="9"/>
      <c r="C36" s="225">
        <f aca="true" t="shared" si="2" ref="C36:K36">SUM(C9:C35)</f>
        <v>5</v>
      </c>
      <c r="D36" s="429">
        <f t="shared" si="2"/>
        <v>678</v>
      </c>
      <c r="E36" s="429">
        <f t="shared" si="2"/>
        <v>95825</v>
      </c>
      <c r="F36" s="430">
        <f t="shared" si="2"/>
        <v>271</v>
      </c>
      <c r="G36" s="429">
        <f t="shared" si="2"/>
        <v>782</v>
      </c>
      <c r="H36" s="429">
        <f t="shared" si="2"/>
        <v>1053</v>
      </c>
      <c r="I36" s="432">
        <f t="shared" si="2"/>
        <v>32.519999999999996</v>
      </c>
      <c r="J36" s="432">
        <f t="shared" si="2"/>
        <v>107.34299999999999</v>
      </c>
      <c r="K36" s="429">
        <f t="shared" si="2"/>
        <v>0</v>
      </c>
    </row>
    <row r="38" ht="12.75">
      <c r="A38" s="14" t="s">
        <v>691</v>
      </c>
    </row>
    <row r="39" ht="31.5" customHeight="1"/>
    <row r="40" spans="1:11" ht="12.75">
      <c r="A40" s="394"/>
      <c r="B40" s="394"/>
      <c r="C40" s="394"/>
      <c r="D40" s="394"/>
      <c r="H40" s="1035" t="s">
        <v>13</v>
      </c>
      <c r="I40" s="1035"/>
      <c r="J40" s="1035"/>
      <c r="K40" s="1035"/>
    </row>
    <row r="41" spans="1:12" ht="15" customHeight="1">
      <c r="A41" s="394"/>
      <c r="B41" s="394"/>
      <c r="C41" s="394"/>
      <c r="D41" s="394"/>
      <c r="H41" s="1035" t="s">
        <v>14</v>
      </c>
      <c r="I41" s="1035"/>
      <c r="J41" s="1035"/>
      <c r="K41" s="1035"/>
      <c r="L41" s="404"/>
    </row>
    <row r="42" spans="1:12" ht="15" customHeight="1">
      <c r="A42" s="394"/>
      <c r="B42" s="394"/>
      <c r="C42" s="394"/>
      <c r="D42" s="394"/>
      <c r="H42" s="1035" t="s">
        <v>727</v>
      </c>
      <c r="I42" s="1035"/>
      <c r="J42" s="1035"/>
      <c r="K42" s="1035"/>
      <c r="L42" s="404"/>
    </row>
    <row r="43" spans="1:11" ht="12.75">
      <c r="A43" s="394" t="s">
        <v>12</v>
      </c>
      <c r="C43" s="394"/>
      <c r="D43" s="394"/>
      <c r="H43" s="1116" t="s">
        <v>84</v>
      </c>
      <c r="I43" s="1116"/>
      <c r="J43" s="1116"/>
      <c r="K43" s="1116"/>
    </row>
  </sheetData>
  <sheetProtection/>
  <mergeCells count="14">
    <mergeCell ref="B6:B7"/>
    <mergeCell ref="C6:C7"/>
    <mergeCell ref="D6:H6"/>
    <mergeCell ref="I6:K6"/>
    <mergeCell ref="H40:K40"/>
    <mergeCell ref="H41:K41"/>
    <mergeCell ref="H42:K42"/>
    <mergeCell ref="H43:K43"/>
    <mergeCell ref="A1:I1"/>
    <mergeCell ref="J1:K1"/>
    <mergeCell ref="A2:K2"/>
    <mergeCell ref="A4:K4"/>
    <mergeCell ref="J5:L5"/>
    <mergeCell ref="A6:A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7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R17"/>
  <sheetViews>
    <sheetView view="pageBreakPreview" zoomScale="80" zoomScaleSheetLayoutView="80" zoomScalePageLayoutView="0" workbookViewId="0" topLeftCell="A1">
      <selection activeCell="A1" sqref="A1:O2"/>
    </sheetView>
  </sheetViews>
  <sheetFormatPr defaultColWidth="9.140625" defaultRowHeight="12.75"/>
  <cols>
    <col min="1" max="1" width="7.8515625" style="0" customWidth="1"/>
    <col min="4" max="4" width="14.7109375" style="0" customWidth="1"/>
    <col min="7" max="7" width="12.28125" style="0" customWidth="1"/>
    <col min="8" max="8" width="11.57421875" style="0" customWidth="1"/>
    <col min="9" max="12" width="10.421875" style="0" customWidth="1"/>
    <col min="13" max="13" width="11.00390625" style="0" customWidth="1"/>
    <col min="14" max="14" width="10.00390625" style="0" customWidth="1"/>
    <col min="15" max="15" width="11.8515625" style="0" customWidth="1"/>
    <col min="18" max="18" width="16.8515625" style="0" customWidth="1"/>
  </cols>
  <sheetData>
    <row r="1" spans="1:15" ht="18">
      <c r="A1" s="958" t="s">
        <v>0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213" t="s">
        <v>692</v>
      </c>
    </row>
    <row r="2" spans="1:15" ht="21">
      <c r="A2" s="959" t="s">
        <v>859</v>
      </c>
      <c r="B2" s="959"/>
      <c r="C2" s="959"/>
      <c r="D2" s="959"/>
      <c r="E2" s="959"/>
      <c r="F2" s="959"/>
      <c r="G2" s="959"/>
      <c r="H2" s="959"/>
      <c r="I2" s="959"/>
      <c r="J2" s="959"/>
      <c r="K2" s="959"/>
      <c r="L2" s="959"/>
      <c r="M2" s="959"/>
      <c r="N2" s="959"/>
      <c r="O2" s="959"/>
    </row>
    <row r="3" spans="1:11" ht="1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5" ht="18">
      <c r="A4" s="958" t="s">
        <v>693</v>
      </c>
      <c r="B4" s="958"/>
      <c r="C4" s="958"/>
      <c r="D4" s="958"/>
      <c r="E4" s="958"/>
      <c r="F4" s="958"/>
      <c r="G4" s="958"/>
      <c r="H4" s="958"/>
      <c r="I4" s="958"/>
      <c r="J4" s="958"/>
      <c r="K4" s="958"/>
      <c r="L4" s="958"/>
      <c r="M4" s="958"/>
      <c r="N4" s="958"/>
      <c r="O4" s="958"/>
    </row>
    <row r="5" spans="1:15" ht="15">
      <c r="A5" s="192" t="s">
        <v>706</v>
      </c>
      <c r="B5" s="192"/>
      <c r="C5" s="192"/>
      <c r="D5" s="192"/>
      <c r="E5" s="192"/>
      <c r="F5" s="192"/>
      <c r="G5" s="192"/>
      <c r="H5" s="192"/>
      <c r="I5" s="192"/>
      <c r="J5" s="192"/>
      <c r="K5" s="191"/>
      <c r="M5" s="1034" t="s">
        <v>826</v>
      </c>
      <c r="N5" s="1034"/>
      <c r="O5" s="1034"/>
    </row>
    <row r="6" spans="1:15" ht="44.25" customHeight="1">
      <c r="A6" s="1036" t="s">
        <v>2</v>
      </c>
      <c r="B6" s="1036" t="s">
        <v>3</v>
      </c>
      <c r="C6" s="1036" t="s">
        <v>309</v>
      </c>
      <c r="D6" s="1040" t="s">
        <v>310</v>
      </c>
      <c r="E6" s="1040" t="s">
        <v>311</v>
      </c>
      <c r="F6" s="1040" t="s">
        <v>312</v>
      </c>
      <c r="G6" s="1040" t="s">
        <v>313</v>
      </c>
      <c r="H6" s="1036" t="s">
        <v>314</v>
      </c>
      <c r="I6" s="1036"/>
      <c r="J6" s="1036" t="s">
        <v>315</v>
      </c>
      <c r="K6" s="1036"/>
      <c r="L6" s="1036" t="s">
        <v>316</v>
      </c>
      <c r="M6" s="1036"/>
      <c r="N6" s="1036" t="s">
        <v>317</v>
      </c>
      <c r="O6" s="1036"/>
    </row>
    <row r="7" spans="1:15" ht="60.75" customHeight="1">
      <c r="A7" s="1036"/>
      <c r="B7" s="1036"/>
      <c r="C7" s="1036"/>
      <c r="D7" s="1041"/>
      <c r="E7" s="1041"/>
      <c r="F7" s="1041"/>
      <c r="G7" s="1041"/>
      <c r="H7" s="383" t="s">
        <v>318</v>
      </c>
      <c r="I7" s="383" t="s">
        <v>319</v>
      </c>
      <c r="J7" s="383" t="s">
        <v>318</v>
      </c>
      <c r="K7" s="383" t="s">
        <v>319</v>
      </c>
      <c r="L7" s="383" t="s">
        <v>318</v>
      </c>
      <c r="M7" s="383" t="s">
        <v>319</v>
      </c>
      <c r="N7" s="383" t="s">
        <v>318</v>
      </c>
      <c r="O7" s="383" t="s">
        <v>319</v>
      </c>
    </row>
    <row r="8" spans="1:15" ht="15">
      <c r="A8" s="194" t="s">
        <v>282</v>
      </c>
      <c r="B8" s="194" t="s">
        <v>283</v>
      </c>
      <c r="C8" s="194" t="s">
        <v>284</v>
      </c>
      <c r="D8" s="194" t="s">
        <v>285</v>
      </c>
      <c r="E8" s="437" t="s">
        <v>286</v>
      </c>
      <c r="F8" s="437" t="s">
        <v>287</v>
      </c>
      <c r="G8" s="194" t="s">
        <v>288</v>
      </c>
      <c r="H8" s="194" t="s">
        <v>289</v>
      </c>
      <c r="I8" s="194" t="s">
        <v>298</v>
      </c>
      <c r="J8" s="194" t="s">
        <v>299</v>
      </c>
      <c r="K8" s="194" t="s">
        <v>300</v>
      </c>
      <c r="L8" s="194" t="s">
        <v>320</v>
      </c>
      <c r="M8" s="194" t="s">
        <v>321</v>
      </c>
      <c r="N8" s="194" t="s">
        <v>322</v>
      </c>
      <c r="O8" s="194" t="s">
        <v>323</v>
      </c>
    </row>
    <row r="9" spans="1:18" ht="30" customHeight="1">
      <c r="A9" s="520">
        <v>1</v>
      </c>
      <c r="B9" s="520" t="s">
        <v>616</v>
      </c>
      <c r="C9" s="521">
        <v>1</v>
      </c>
      <c r="D9" s="522" t="s">
        <v>728</v>
      </c>
      <c r="E9" s="422">
        <v>172</v>
      </c>
      <c r="F9" s="681">
        <v>25311</v>
      </c>
      <c r="G9" s="524">
        <v>20</v>
      </c>
      <c r="H9" s="525">
        <v>627.38</v>
      </c>
      <c r="I9" s="525">
        <v>528.89</v>
      </c>
      <c r="J9" s="519">
        <v>205.82683330909094</v>
      </c>
      <c r="K9" s="519">
        <v>251.5661296</v>
      </c>
      <c r="L9" s="525">
        <v>10.224</v>
      </c>
      <c r="M9" s="525">
        <v>10.224</v>
      </c>
      <c r="N9" s="520">
        <v>0</v>
      </c>
      <c r="O9" s="520">
        <v>0</v>
      </c>
      <c r="R9" s="702"/>
    </row>
    <row r="10" spans="1:15" ht="21.75" customHeight="1">
      <c r="A10" s="520">
        <v>2</v>
      </c>
      <c r="B10" s="520" t="s">
        <v>619</v>
      </c>
      <c r="C10" s="521">
        <v>1</v>
      </c>
      <c r="D10" s="523" t="s">
        <v>614</v>
      </c>
      <c r="E10" s="698">
        <v>226</v>
      </c>
      <c r="F10" s="681">
        <v>40195</v>
      </c>
      <c r="G10" s="524">
        <v>16</v>
      </c>
      <c r="H10" s="525">
        <v>1067.37</v>
      </c>
      <c r="I10" s="525">
        <v>927</v>
      </c>
      <c r="J10" s="519">
        <v>361.5250827272727</v>
      </c>
      <c r="K10" s="519">
        <v>441.86398999999994</v>
      </c>
      <c r="L10" s="525">
        <v>15.84</v>
      </c>
      <c r="M10" s="525">
        <v>15.84</v>
      </c>
      <c r="N10" s="520">
        <v>0</v>
      </c>
      <c r="O10" s="520">
        <v>0</v>
      </c>
    </row>
    <row r="11" spans="1:15" ht="12.75">
      <c r="A11" s="9"/>
      <c r="B11" s="9"/>
      <c r="C11" s="9"/>
      <c r="D11" s="9"/>
      <c r="E11" s="526">
        <f>SUM(E9:E10)</f>
        <v>398</v>
      </c>
      <c r="F11" s="526">
        <f aca="true" t="shared" si="0" ref="F11:O11">SUM(F9:F10)</f>
        <v>65506</v>
      </c>
      <c r="G11" s="526"/>
      <c r="H11" s="527">
        <f t="shared" si="0"/>
        <v>1694.75</v>
      </c>
      <c r="I11" s="527">
        <f t="shared" si="0"/>
        <v>1455.8899999999999</v>
      </c>
      <c r="J11" s="527">
        <f t="shared" si="0"/>
        <v>567.3519160363637</v>
      </c>
      <c r="K11" s="527">
        <f t="shared" si="0"/>
        <v>693.4301195999999</v>
      </c>
      <c r="L11" s="519">
        <f>SUM(L9:L10)</f>
        <v>26.064</v>
      </c>
      <c r="M11" s="519">
        <f t="shared" si="0"/>
        <v>26.064</v>
      </c>
      <c r="N11" s="527">
        <f t="shared" si="0"/>
        <v>0</v>
      </c>
      <c r="O11" s="527">
        <f t="shared" si="0"/>
        <v>0</v>
      </c>
    </row>
    <row r="13" ht="27.75" customHeight="1"/>
    <row r="14" spans="1:15" ht="12.75" customHeight="1">
      <c r="A14" s="394"/>
      <c r="B14" s="394"/>
      <c r="C14" s="394"/>
      <c r="D14" s="394"/>
      <c r="K14" s="1035" t="s">
        <v>13</v>
      </c>
      <c r="L14" s="1035"/>
      <c r="M14" s="1035"/>
      <c r="N14" s="1035"/>
      <c r="O14" s="1035"/>
    </row>
    <row r="15" spans="1:15" ht="12.75" customHeight="1">
      <c r="A15" s="394" t="s">
        <v>12</v>
      </c>
      <c r="B15" s="394"/>
      <c r="C15" s="394"/>
      <c r="D15" s="394"/>
      <c r="K15" s="1035" t="s">
        <v>14</v>
      </c>
      <c r="L15" s="1035"/>
      <c r="M15" s="1035"/>
      <c r="N15" s="1035"/>
      <c r="O15" s="1035"/>
    </row>
    <row r="16" spans="1:15" ht="12.75" customHeight="1">
      <c r="A16" s="394"/>
      <c r="B16" s="394"/>
      <c r="C16" s="394"/>
      <c r="D16" s="394"/>
      <c r="K16" s="1035" t="s">
        <v>712</v>
      </c>
      <c r="L16" s="1035"/>
      <c r="M16" s="1035"/>
      <c r="N16" s="1035"/>
      <c r="O16" s="1035"/>
    </row>
    <row r="17" spans="3:15" ht="12.75">
      <c r="C17" s="394"/>
      <c r="D17" s="394"/>
      <c r="K17" s="1116" t="s">
        <v>84</v>
      </c>
      <c r="L17" s="1116"/>
      <c r="M17" s="1116"/>
      <c r="N17" s="1116"/>
      <c r="O17" s="1116"/>
    </row>
  </sheetData>
  <sheetProtection/>
  <mergeCells count="19">
    <mergeCell ref="F6:F7"/>
    <mergeCell ref="G6:G7"/>
    <mergeCell ref="H6:I6"/>
    <mergeCell ref="K17:O17"/>
    <mergeCell ref="A1:N1"/>
    <mergeCell ref="A2:O2"/>
    <mergeCell ref="A4:O4"/>
    <mergeCell ref="M5:O5"/>
    <mergeCell ref="A6:A7"/>
    <mergeCell ref="B6:B7"/>
    <mergeCell ref="C6:C7"/>
    <mergeCell ref="D6:D7"/>
    <mergeCell ref="E6:E7"/>
    <mergeCell ref="J6:K6"/>
    <mergeCell ref="L6:M6"/>
    <mergeCell ref="N6:O6"/>
    <mergeCell ref="K16:O16"/>
    <mergeCell ref="K15:O15"/>
    <mergeCell ref="K14:O14"/>
  </mergeCells>
  <printOptions horizontalCentered="1"/>
  <pageMargins left="0.7086614173228347" right="0.7086614173228347" top="1.16" bottom="0" header="0.31496062992125984" footer="0.31496062992125984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2:IV61"/>
  <sheetViews>
    <sheetView view="pageBreakPreview" zoomScale="90" zoomScaleSheetLayoutView="90" zoomScalePageLayoutView="0" workbookViewId="0" topLeftCell="B13">
      <selection activeCell="I17" sqref="I17"/>
    </sheetView>
  </sheetViews>
  <sheetFormatPr defaultColWidth="9.140625" defaultRowHeight="12.75"/>
  <cols>
    <col min="2" max="2" width="4.8515625" style="0" customWidth="1"/>
    <col min="3" max="3" width="19.57421875" style="0" customWidth="1"/>
    <col min="4" max="6" width="8.7109375" style="0" customWidth="1"/>
    <col min="7" max="7" width="8.57421875" style="0" customWidth="1"/>
    <col min="8" max="8" width="9.28125" style="0" customWidth="1"/>
    <col min="9" max="9" width="7.8515625" style="0" customWidth="1"/>
    <col min="10" max="10" width="10.28125" style="0" customWidth="1"/>
    <col min="11" max="11" width="9.140625" style="0" customWidth="1"/>
    <col min="12" max="12" width="9.421875" style="0" customWidth="1"/>
    <col min="13" max="13" width="8.57421875" style="0" customWidth="1"/>
    <col min="14" max="14" width="8.7109375" style="0" customWidth="1"/>
    <col min="15" max="15" width="10.00390625" style="0" customWidth="1"/>
    <col min="16" max="16" width="9.57421875" style="0" customWidth="1"/>
    <col min="17" max="17" width="8.140625" style="0" customWidth="1"/>
    <col min="18" max="18" width="9.140625" style="0" customWidth="1"/>
    <col min="19" max="19" width="10.00390625" style="0" customWidth="1"/>
    <col min="20" max="20" width="9.57421875" style="0" customWidth="1"/>
    <col min="21" max="21" width="9.8515625" style="0" customWidth="1"/>
    <col min="22" max="22" width="8.7109375" style="0" customWidth="1"/>
    <col min="23" max="23" width="9.7109375" style="0" customWidth="1"/>
    <col min="29" max="29" width="11.00390625" style="0" customWidth="1"/>
    <col min="30" max="31" width="8.8515625" style="0" hidden="1" customWidth="1"/>
  </cols>
  <sheetData>
    <row r="2" spans="8:21" ht="12.75">
      <c r="H2" s="853"/>
      <c r="I2" s="853"/>
      <c r="J2" s="853"/>
      <c r="K2" s="853"/>
      <c r="L2" s="853"/>
      <c r="M2" s="853"/>
      <c r="N2" s="853"/>
      <c r="O2" s="853"/>
      <c r="P2" s="853"/>
      <c r="Q2" s="1"/>
      <c r="R2" s="1"/>
      <c r="S2" s="1"/>
      <c r="U2" s="47" t="s">
        <v>59</v>
      </c>
    </row>
    <row r="3" spans="2:22" ht="15">
      <c r="B3" s="855" t="s">
        <v>57</v>
      </c>
      <c r="C3" s="855"/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  <c r="P3" s="855"/>
      <c r="Q3" s="855"/>
      <c r="R3" s="855"/>
      <c r="S3" s="855"/>
      <c r="T3" s="855"/>
      <c r="U3" s="855"/>
      <c r="V3" s="855"/>
    </row>
    <row r="4" spans="2:256" ht="15.75">
      <c r="B4" s="901" t="s">
        <v>859</v>
      </c>
      <c r="C4" s="901"/>
      <c r="D4" s="901"/>
      <c r="E4" s="901"/>
      <c r="F4" s="901"/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901"/>
      <c r="R4" s="901"/>
      <c r="S4" s="901"/>
      <c r="T4" s="901"/>
      <c r="U4" s="901"/>
      <c r="V4" s="901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6" spans="2:22" ht="15">
      <c r="B6" s="914" t="s">
        <v>896</v>
      </c>
      <c r="C6" s="914"/>
      <c r="D6" s="914"/>
      <c r="E6" s="914"/>
      <c r="F6" s="914"/>
      <c r="G6" s="914"/>
      <c r="H6" s="914"/>
      <c r="I6" s="914"/>
      <c r="J6" s="914"/>
      <c r="K6" s="914"/>
      <c r="L6" s="914"/>
      <c r="M6" s="914"/>
      <c r="N6" s="914"/>
      <c r="O6" s="914"/>
      <c r="P6" s="914"/>
      <c r="Q6" s="914"/>
      <c r="R6" s="914"/>
      <c r="S6" s="914"/>
      <c r="T6" s="914"/>
      <c r="U6" s="914"/>
      <c r="V6" s="914"/>
    </row>
    <row r="7" spans="2:22" ht="15.75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2:22" ht="15.75">
      <c r="B8" s="898" t="s">
        <v>636</v>
      </c>
      <c r="C8" s="898"/>
      <c r="D8" s="898"/>
      <c r="E8" s="31"/>
      <c r="F8" s="31"/>
      <c r="G8" s="31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10" spans="22:256" ht="15">
      <c r="V10" s="920" t="s">
        <v>463</v>
      </c>
      <c r="W10" s="920"/>
      <c r="X10" s="15"/>
      <c r="Y10" s="15"/>
      <c r="Z10" s="15"/>
      <c r="AA10" s="15"/>
      <c r="AB10" s="15"/>
      <c r="AC10" s="880"/>
      <c r="AD10" s="880"/>
      <c r="AE10" s="880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2:256" ht="12.75" customHeight="1">
      <c r="B11" s="915" t="s">
        <v>2</v>
      </c>
      <c r="C11" s="915" t="s">
        <v>110</v>
      </c>
      <c r="D11" s="907" t="s">
        <v>168</v>
      </c>
      <c r="E11" s="908"/>
      <c r="F11" s="908"/>
      <c r="G11" s="909"/>
      <c r="H11" s="917" t="s">
        <v>897</v>
      </c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9"/>
      <c r="T11" s="921" t="s">
        <v>269</v>
      </c>
      <c r="U11" s="870"/>
      <c r="V11" s="870"/>
      <c r="W11" s="870"/>
      <c r="X11" s="119"/>
      <c r="Y11" s="119"/>
      <c r="Z11" s="119"/>
      <c r="AA11" s="119"/>
      <c r="AB11" s="119"/>
      <c r="AC11" s="119"/>
      <c r="AD11" s="119" t="e">
        <f>ROUND(L11/G11*100,2)</f>
        <v>#DIV/0!</v>
      </c>
      <c r="AE11" s="119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2:256" ht="12.75">
      <c r="B12" s="916"/>
      <c r="C12" s="916"/>
      <c r="D12" s="910"/>
      <c r="E12" s="911"/>
      <c r="F12" s="911"/>
      <c r="G12" s="912"/>
      <c r="H12" s="867" t="s">
        <v>189</v>
      </c>
      <c r="I12" s="868"/>
      <c r="J12" s="868"/>
      <c r="K12" s="869"/>
      <c r="L12" s="867" t="s">
        <v>190</v>
      </c>
      <c r="M12" s="868"/>
      <c r="N12" s="868"/>
      <c r="O12" s="869"/>
      <c r="P12" s="876" t="s">
        <v>19</v>
      </c>
      <c r="Q12" s="876"/>
      <c r="R12" s="876"/>
      <c r="S12" s="876"/>
      <c r="T12" s="922"/>
      <c r="U12" s="923"/>
      <c r="V12" s="923"/>
      <c r="W12" s="923"/>
      <c r="X12" s="119"/>
      <c r="Y12" s="119"/>
      <c r="Z12" s="119"/>
      <c r="AA12" s="119"/>
      <c r="AB12" s="119"/>
      <c r="AC12" s="119"/>
      <c r="AD12" s="119" t="e">
        <f aca="true" t="shared" si="0" ref="AD12:AD38">ROUND(L12/G12*100,2)</f>
        <v>#VALUE!</v>
      </c>
      <c r="AE12" s="119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2:256" ht="38.25">
      <c r="B13" s="161"/>
      <c r="C13" s="161"/>
      <c r="D13" s="160" t="s">
        <v>270</v>
      </c>
      <c r="E13" s="160" t="s">
        <v>271</v>
      </c>
      <c r="F13" s="160" t="s">
        <v>272</v>
      </c>
      <c r="G13" s="160" t="s">
        <v>90</v>
      </c>
      <c r="H13" s="160" t="s">
        <v>270</v>
      </c>
      <c r="I13" s="160" t="s">
        <v>271</v>
      </c>
      <c r="J13" s="160" t="s">
        <v>272</v>
      </c>
      <c r="K13" s="160" t="s">
        <v>19</v>
      </c>
      <c r="L13" s="160" t="s">
        <v>270</v>
      </c>
      <c r="M13" s="160" t="s">
        <v>271</v>
      </c>
      <c r="N13" s="160" t="s">
        <v>272</v>
      </c>
      <c r="O13" s="160" t="s">
        <v>90</v>
      </c>
      <c r="P13" s="160" t="s">
        <v>270</v>
      </c>
      <c r="Q13" s="160" t="s">
        <v>271</v>
      </c>
      <c r="R13" s="160" t="s">
        <v>272</v>
      </c>
      <c r="S13" s="160" t="s">
        <v>19</v>
      </c>
      <c r="T13" s="5" t="s">
        <v>459</v>
      </c>
      <c r="U13" s="5" t="s">
        <v>460</v>
      </c>
      <c r="V13" s="5" t="s">
        <v>461</v>
      </c>
      <c r="W13" s="217" t="s">
        <v>462</v>
      </c>
      <c r="X13" s="119"/>
      <c r="Y13" s="119"/>
      <c r="Z13" s="119"/>
      <c r="AA13" s="119"/>
      <c r="AB13" s="119"/>
      <c r="AC13" s="119"/>
      <c r="AD13" s="119" t="e">
        <f t="shared" si="0"/>
        <v>#VALUE!</v>
      </c>
      <c r="AE13" s="119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2:256" ht="12.75">
      <c r="B14" s="143">
        <v>1</v>
      </c>
      <c r="C14" s="162">
        <v>2</v>
      </c>
      <c r="D14" s="143">
        <v>3</v>
      </c>
      <c r="E14" s="143">
        <v>4</v>
      </c>
      <c r="F14" s="162">
        <v>5</v>
      </c>
      <c r="G14" s="143">
        <v>6</v>
      </c>
      <c r="H14" s="143">
        <v>7</v>
      </c>
      <c r="I14" s="162">
        <v>8</v>
      </c>
      <c r="J14" s="143">
        <v>9</v>
      </c>
      <c r="K14" s="143">
        <v>10</v>
      </c>
      <c r="L14" s="595">
        <v>11</v>
      </c>
      <c r="M14" s="143">
        <v>12</v>
      </c>
      <c r="N14" s="143">
        <v>13</v>
      </c>
      <c r="O14" s="162">
        <v>14</v>
      </c>
      <c r="P14" s="143">
        <v>15</v>
      </c>
      <c r="Q14" s="143">
        <v>16</v>
      </c>
      <c r="R14" s="162">
        <v>17</v>
      </c>
      <c r="S14" s="143">
        <v>18</v>
      </c>
      <c r="T14" s="143">
        <v>19</v>
      </c>
      <c r="U14" s="162">
        <v>20</v>
      </c>
      <c r="V14" s="143">
        <v>21</v>
      </c>
      <c r="W14" s="143">
        <v>22</v>
      </c>
      <c r="X14" s="163"/>
      <c r="Y14" s="163"/>
      <c r="Z14" s="163"/>
      <c r="AA14" s="163"/>
      <c r="AB14" s="163"/>
      <c r="AC14" s="163"/>
      <c r="AD14" s="119">
        <f t="shared" si="0"/>
        <v>183.33</v>
      </c>
      <c r="AE14" s="163"/>
      <c r="AF14" s="163"/>
      <c r="AG14" s="163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</row>
    <row r="15" spans="2:256" ht="25.5">
      <c r="B15" s="18"/>
      <c r="C15" s="164" t="s">
        <v>256</v>
      </c>
      <c r="D15" s="18"/>
      <c r="E15" s="18"/>
      <c r="F15" s="18"/>
      <c r="G15" s="215"/>
      <c r="H15" s="8"/>
      <c r="I15" s="8"/>
      <c r="J15" s="8"/>
      <c r="K15" s="215"/>
      <c r="L15" s="595"/>
      <c r="M15" s="8"/>
      <c r="N15" s="8"/>
      <c r="O15" s="8"/>
      <c r="P15" s="8"/>
      <c r="Q15" s="8"/>
      <c r="R15" s="8"/>
      <c r="S15" s="8"/>
      <c r="T15" s="8"/>
      <c r="U15" s="9"/>
      <c r="V15" s="9"/>
      <c r="W15" s="9"/>
      <c r="X15" s="120"/>
      <c r="Y15" s="120"/>
      <c r="Z15" s="120"/>
      <c r="AA15" s="120"/>
      <c r="AB15" s="120"/>
      <c r="AC15" s="120"/>
      <c r="AD15" s="119" t="e">
        <f t="shared" si="0"/>
        <v>#DIV/0!</v>
      </c>
      <c r="AE15" s="120"/>
      <c r="AF15" s="120"/>
      <c r="AG15" s="120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2:256" ht="12.75">
      <c r="B16" s="3">
        <v>1</v>
      </c>
      <c r="C16" s="164" t="s">
        <v>198</v>
      </c>
      <c r="D16" s="635">
        <f>G16*52.12%</f>
        <v>1563.6</v>
      </c>
      <c r="E16" s="635">
        <f>G16*15.34%</f>
        <v>460.20000000000005</v>
      </c>
      <c r="F16" s="635">
        <f>G16*32.54%</f>
        <v>976.1999999999999</v>
      </c>
      <c r="G16" s="631">
        <v>3000</v>
      </c>
      <c r="H16" s="635">
        <f>K16*52.12%</f>
        <v>1411.46172</v>
      </c>
      <c r="I16" s="635">
        <f>K16*15.34%</f>
        <v>415.42254</v>
      </c>
      <c r="J16" s="635">
        <f>K16*32.54%</f>
        <v>881.2157399999999</v>
      </c>
      <c r="K16" s="630">
        <v>2708.1</v>
      </c>
      <c r="L16" s="636"/>
      <c r="M16" s="635"/>
      <c r="N16" s="635"/>
      <c r="O16" s="635"/>
      <c r="P16" s="635">
        <f>H16+L16</f>
        <v>1411.46172</v>
      </c>
      <c r="Q16" s="635">
        <f>I16+M16</f>
        <v>415.42254</v>
      </c>
      <c r="R16" s="635">
        <f>J16+N16</f>
        <v>881.2157399999999</v>
      </c>
      <c r="S16" s="635">
        <f>SUM(P16:R16)</f>
        <v>2708.1</v>
      </c>
      <c r="T16" s="635">
        <f aca="true" t="shared" si="1" ref="T16:W20">D16-P16</f>
        <v>152.1382799999999</v>
      </c>
      <c r="U16" s="635">
        <f t="shared" si="1"/>
        <v>44.77746000000002</v>
      </c>
      <c r="V16" s="635">
        <f t="shared" si="1"/>
        <v>94.98426000000006</v>
      </c>
      <c r="W16" s="635">
        <f t="shared" si="1"/>
        <v>291.9000000000001</v>
      </c>
      <c r="X16" s="120"/>
      <c r="Y16" s="120"/>
      <c r="Z16" s="120"/>
      <c r="AA16" s="120"/>
      <c r="AB16" s="120"/>
      <c r="AC16" s="120"/>
      <c r="AD16" s="119">
        <f t="shared" si="0"/>
        <v>0</v>
      </c>
      <c r="AE16" s="120"/>
      <c r="AF16" s="120"/>
      <c r="AG16" s="120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2:30" ht="12.75">
      <c r="B17" s="3">
        <v>2</v>
      </c>
      <c r="C17" s="165" t="s">
        <v>133</v>
      </c>
      <c r="D17" s="635">
        <f>G17*52.12%</f>
        <v>22094.03284</v>
      </c>
      <c r="E17" s="635">
        <f>G17*15.34%</f>
        <v>6502.73338</v>
      </c>
      <c r="F17" s="635">
        <f>G17*32.54%</f>
        <v>13793.933779999998</v>
      </c>
      <c r="G17" s="631">
        <v>42390.7</v>
      </c>
      <c r="H17" s="635">
        <f>K17*52.12%</f>
        <v>12329.757376</v>
      </c>
      <c r="I17" s="635">
        <f>K17*15.34%</f>
        <v>3628.904032</v>
      </c>
      <c r="J17" s="635">
        <f>K17*32.54%</f>
        <v>7697.818591999999</v>
      </c>
      <c r="K17" s="635">
        <v>23656.48</v>
      </c>
      <c r="L17" s="635">
        <f>O17*52.12%</f>
        <v>9295.909508</v>
      </c>
      <c r="M17" s="635">
        <f>O17*15.34%</f>
        <v>2735.979506</v>
      </c>
      <c r="N17" s="635">
        <f>O17*32.54%</f>
        <v>5803.700986</v>
      </c>
      <c r="O17" s="635">
        <v>17835.59</v>
      </c>
      <c r="P17" s="635">
        <f aca="true" t="shared" si="2" ref="P17:R20">H17+L17</f>
        <v>21625.666884</v>
      </c>
      <c r="Q17" s="635">
        <f t="shared" si="2"/>
        <v>6364.883538</v>
      </c>
      <c r="R17" s="635">
        <f t="shared" si="2"/>
        <v>13501.519578</v>
      </c>
      <c r="S17" s="635">
        <f>SUM(P17:R17)</f>
        <v>41492.07</v>
      </c>
      <c r="T17" s="635">
        <f t="shared" si="1"/>
        <v>468.36595600000146</v>
      </c>
      <c r="U17" s="635">
        <f t="shared" si="1"/>
        <v>137.84984199999963</v>
      </c>
      <c r="V17" s="635">
        <f t="shared" si="1"/>
        <v>292.4142019999981</v>
      </c>
      <c r="W17" s="635">
        <f t="shared" si="1"/>
        <v>898.6299999999974</v>
      </c>
      <c r="Z17" s="898"/>
      <c r="AA17" s="898"/>
      <c r="AB17" s="898"/>
      <c r="AC17" s="898"/>
      <c r="AD17" s="119">
        <f t="shared" si="0"/>
        <v>21.93</v>
      </c>
    </row>
    <row r="18" spans="2:30" ht="25.5">
      <c r="B18" s="3">
        <v>3</v>
      </c>
      <c r="C18" s="164" t="s">
        <v>134</v>
      </c>
      <c r="D18" s="635">
        <f>G18*52.12%</f>
        <v>359.1068</v>
      </c>
      <c r="E18" s="635">
        <f>G18*15.34%</f>
        <v>105.69260000000001</v>
      </c>
      <c r="F18" s="635">
        <f>G18*32.54%</f>
        <v>224.20059999999998</v>
      </c>
      <c r="G18" s="631">
        <v>689</v>
      </c>
      <c r="H18" s="635">
        <f>K18*52.12%</f>
        <v>352.664768</v>
      </c>
      <c r="I18" s="635">
        <f>K18*15.34%</f>
        <v>103.796576</v>
      </c>
      <c r="J18" s="635">
        <f>K18*32.54%</f>
        <v>220.17865599999996</v>
      </c>
      <c r="K18" s="635">
        <v>676.64</v>
      </c>
      <c r="L18" s="635"/>
      <c r="M18" s="635"/>
      <c r="N18" s="635"/>
      <c r="O18" s="635"/>
      <c r="P18" s="635">
        <f t="shared" si="2"/>
        <v>352.664768</v>
      </c>
      <c r="Q18" s="635">
        <f t="shared" si="2"/>
        <v>103.796576</v>
      </c>
      <c r="R18" s="635">
        <f t="shared" si="2"/>
        <v>220.17865599999996</v>
      </c>
      <c r="S18" s="635">
        <f>SUM(P18:R18)</f>
        <v>676.64</v>
      </c>
      <c r="T18" s="635">
        <f t="shared" si="1"/>
        <v>6.44203200000004</v>
      </c>
      <c r="U18" s="635">
        <f t="shared" si="1"/>
        <v>1.8960240000000113</v>
      </c>
      <c r="V18" s="635">
        <f t="shared" si="1"/>
        <v>4.021944000000019</v>
      </c>
      <c r="W18" s="635">
        <f t="shared" si="1"/>
        <v>12.360000000000014</v>
      </c>
      <c r="AD18" s="119">
        <f t="shared" si="0"/>
        <v>0</v>
      </c>
    </row>
    <row r="19" spans="2:30" ht="12.75">
      <c r="B19" s="3">
        <v>4</v>
      </c>
      <c r="C19" s="165" t="s">
        <v>135</v>
      </c>
      <c r="D19" s="635">
        <f>G19*52.12%</f>
        <v>446.1472</v>
      </c>
      <c r="E19" s="635">
        <f>G19*15.34%</f>
        <v>131.31040000000002</v>
      </c>
      <c r="F19" s="635">
        <f>G19*32.54%</f>
        <v>278.5424</v>
      </c>
      <c r="G19" s="631">
        <v>856</v>
      </c>
      <c r="H19" s="635">
        <f>K19*52.12%</f>
        <v>314.419112</v>
      </c>
      <c r="I19" s="635">
        <f>K19*15.34%</f>
        <v>92.54008400000001</v>
      </c>
      <c r="J19" s="635">
        <f>K19*32.54%</f>
        <v>196.30080399999997</v>
      </c>
      <c r="K19" s="635">
        <v>603.26</v>
      </c>
      <c r="L19" s="635"/>
      <c r="M19" s="635"/>
      <c r="N19" s="635"/>
      <c r="O19" s="635"/>
      <c r="P19" s="635">
        <f t="shared" si="2"/>
        <v>314.419112</v>
      </c>
      <c r="Q19" s="635">
        <f t="shared" si="2"/>
        <v>92.54008400000001</v>
      </c>
      <c r="R19" s="635">
        <f t="shared" si="2"/>
        <v>196.30080399999997</v>
      </c>
      <c r="S19" s="635">
        <f>SUM(P19:R19)</f>
        <v>603.26</v>
      </c>
      <c r="T19" s="635">
        <f t="shared" si="1"/>
        <v>131.728088</v>
      </c>
      <c r="U19" s="635">
        <f t="shared" si="1"/>
        <v>38.77031600000001</v>
      </c>
      <c r="V19" s="635">
        <f t="shared" si="1"/>
        <v>82.24159600000002</v>
      </c>
      <c r="W19" s="635">
        <f t="shared" si="1"/>
        <v>252.74</v>
      </c>
      <c r="AD19" s="119">
        <f t="shared" si="0"/>
        <v>0</v>
      </c>
    </row>
    <row r="20" spans="2:30" ht="25.5">
      <c r="B20" s="3">
        <v>5</v>
      </c>
      <c r="C20" s="164" t="s">
        <v>136</v>
      </c>
      <c r="D20" s="635">
        <f>G20*52.12%</f>
        <v>6762.77848</v>
      </c>
      <c r="E20" s="635">
        <f>G20*15.34%</f>
        <v>1990.4263600000002</v>
      </c>
      <c r="F20" s="635">
        <f>G20*32.54%</f>
        <v>4222.195159999999</v>
      </c>
      <c r="G20" s="631">
        <v>12975.4</v>
      </c>
      <c r="H20" s="635">
        <f>K20*52.12%</f>
        <v>3373.75366</v>
      </c>
      <c r="I20" s="635">
        <f>K20*15.34%</f>
        <v>992.9658700000001</v>
      </c>
      <c r="J20" s="635">
        <f>K20*32.54%</f>
        <v>2106.33047</v>
      </c>
      <c r="K20" s="635">
        <v>6473.05</v>
      </c>
      <c r="L20" s="635">
        <f>O20*52.12%</f>
        <v>3373.75366</v>
      </c>
      <c r="M20" s="635">
        <f>O20*15.34%</f>
        <v>992.9658700000001</v>
      </c>
      <c r="N20" s="635">
        <f>O20*32.54%</f>
        <v>2106.33047</v>
      </c>
      <c r="O20" s="635">
        <f>K20</f>
        <v>6473.05</v>
      </c>
      <c r="P20" s="635">
        <f t="shared" si="2"/>
        <v>6747.50732</v>
      </c>
      <c r="Q20" s="635">
        <f t="shared" si="2"/>
        <v>1985.9317400000002</v>
      </c>
      <c r="R20" s="635">
        <f t="shared" si="2"/>
        <v>4212.66094</v>
      </c>
      <c r="S20" s="635">
        <f>SUM(P20:R20)</f>
        <v>12946.1</v>
      </c>
      <c r="T20" s="635">
        <f t="shared" si="1"/>
        <v>15.271160000000236</v>
      </c>
      <c r="U20" s="635">
        <f t="shared" si="1"/>
        <v>4.494619999999941</v>
      </c>
      <c r="V20" s="635">
        <f t="shared" si="1"/>
        <v>9.53421999999955</v>
      </c>
      <c r="W20" s="635">
        <f t="shared" si="1"/>
        <v>29.299999999999272</v>
      </c>
      <c r="AD20" s="119">
        <f t="shared" si="0"/>
        <v>26</v>
      </c>
    </row>
    <row r="21" spans="2:30" s="15" customFormat="1" ht="12.75">
      <c r="B21" s="214"/>
      <c r="C21" s="226" t="s">
        <v>90</v>
      </c>
      <c r="D21" s="631">
        <f aca="true" t="shared" si="3" ref="D21:K21">SUM(D16:D20)</f>
        <v>31225.66532</v>
      </c>
      <c r="E21" s="631">
        <f t="shared" si="3"/>
        <v>9190.36274</v>
      </c>
      <c r="F21" s="631">
        <f t="shared" si="3"/>
        <v>19495.071939999998</v>
      </c>
      <c r="G21" s="631">
        <f t="shared" si="3"/>
        <v>59911.1</v>
      </c>
      <c r="H21" s="635">
        <f t="shared" si="3"/>
        <v>17782.056635999998</v>
      </c>
      <c r="I21" s="635">
        <f t="shared" si="3"/>
        <v>5233.629102</v>
      </c>
      <c r="J21" s="635">
        <f t="shared" si="3"/>
        <v>11101.844261999999</v>
      </c>
      <c r="K21" s="635">
        <f t="shared" si="3"/>
        <v>34117.53</v>
      </c>
      <c r="L21" s="635">
        <f aca="true" t="shared" si="4" ref="L21:W21">SUM(L16:L20)</f>
        <v>12669.663168000001</v>
      </c>
      <c r="M21" s="635">
        <f t="shared" si="4"/>
        <v>3728.945376</v>
      </c>
      <c r="N21" s="635">
        <f t="shared" si="4"/>
        <v>7910.031456</v>
      </c>
      <c r="O21" s="635">
        <f t="shared" si="4"/>
        <v>24308.64</v>
      </c>
      <c r="P21" s="635">
        <f t="shared" si="4"/>
        <v>30451.719803999997</v>
      </c>
      <c r="Q21" s="635">
        <f t="shared" si="4"/>
        <v>8962.574478</v>
      </c>
      <c r="R21" s="635">
        <f t="shared" si="4"/>
        <v>19011.875718</v>
      </c>
      <c r="S21" s="635">
        <f t="shared" si="4"/>
        <v>58426.17</v>
      </c>
      <c r="T21" s="635">
        <f t="shared" si="4"/>
        <v>773.9455160000016</v>
      </c>
      <c r="U21" s="635">
        <f t="shared" si="4"/>
        <v>227.7882619999996</v>
      </c>
      <c r="V21" s="635">
        <f t="shared" si="4"/>
        <v>483.19622199999776</v>
      </c>
      <c r="W21" s="635">
        <f t="shared" si="4"/>
        <v>1484.9299999999969</v>
      </c>
      <c r="AD21" s="119">
        <f t="shared" si="0"/>
        <v>21.15</v>
      </c>
    </row>
    <row r="22" spans="2:30" ht="25.5">
      <c r="B22" s="3"/>
      <c r="C22" s="166" t="s">
        <v>257</v>
      </c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AD22" s="119" t="e">
        <f t="shared" si="0"/>
        <v>#DIV/0!</v>
      </c>
    </row>
    <row r="23" spans="2:30" ht="12.75">
      <c r="B23" s="3">
        <v>6</v>
      </c>
      <c r="C23" s="164" t="s">
        <v>200</v>
      </c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AD23" s="119" t="e">
        <f t="shared" si="0"/>
        <v>#DIV/0!</v>
      </c>
    </row>
    <row r="24" spans="2:30" ht="12.75">
      <c r="B24" s="3">
        <v>7</v>
      </c>
      <c r="C24" s="165" t="s">
        <v>138</v>
      </c>
      <c r="D24" s="632"/>
      <c r="E24" s="632"/>
      <c r="F24" s="632"/>
      <c r="G24" s="632"/>
      <c r="H24" s="632">
        <v>1114.83</v>
      </c>
      <c r="I24" s="633">
        <v>280.95</v>
      </c>
      <c r="J24" s="632">
        <v>26.02</v>
      </c>
      <c r="K24" s="633">
        <f>SUM(H24:J24)</f>
        <v>1421.8</v>
      </c>
      <c r="L24" s="632">
        <v>0</v>
      </c>
      <c r="M24" s="632">
        <v>0</v>
      </c>
      <c r="N24" s="632">
        <v>0</v>
      </c>
      <c r="O24" s="632"/>
      <c r="P24" s="632"/>
      <c r="Q24" s="632"/>
      <c r="R24" s="632"/>
      <c r="S24" s="632"/>
      <c r="T24" s="632"/>
      <c r="U24" s="632"/>
      <c r="V24" s="632"/>
      <c r="W24" s="632"/>
      <c r="AD24" s="119" t="e">
        <f t="shared" si="0"/>
        <v>#DIV/0!</v>
      </c>
    </row>
    <row r="25" spans="2:30" ht="12.75">
      <c r="B25" s="9"/>
      <c r="C25" s="165" t="s">
        <v>90</v>
      </c>
      <c r="D25" s="632"/>
      <c r="E25" s="632"/>
      <c r="F25" s="632"/>
      <c r="G25" s="632"/>
      <c r="H25" s="632">
        <f>SUM(H23:H24)</f>
        <v>1114.83</v>
      </c>
      <c r="I25" s="632">
        <f>SUM(I23:I24)</f>
        <v>280.95</v>
      </c>
      <c r="J25" s="632">
        <f>SUM(J23:J24)</f>
        <v>26.02</v>
      </c>
      <c r="K25" s="632">
        <f>SUM(K23:K24)</f>
        <v>1421.8</v>
      </c>
      <c r="L25" s="632"/>
      <c r="M25" s="632"/>
      <c r="N25" s="632"/>
      <c r="O25" s="632"/>
      <c r="P25" s="632"/>
      <c r="Q25" s="632"/>
      <c r="R25" s="632"/>
      <c r="S25" s="632"/>
      <c r="T25" s="632"/>
      <c r="U25" s="632"/>
      <c r="V25" s="632"/>
      <c r="W25" s="632"/>
      <c r="AD25" s="119" t="e">
        <f t="shared" si="0"/>
        <v>#DIV/0!</v>
      </c>
    </row>
    <row r="26" spans="2:30" ht="12.75">
      <c r="B26" s="9"/>
      <c r="C26" s="165" t="s">
        <v>36</v>
      </c>
      <c r="D26" s="632">
        <f>D21+D25</f>
        <v>31225.66532</v>
      </c>
      <c r="E26" s="632">
        <f aca="true" t="shared" si="5" ref="E26:S26">E21+E25</f>
        <v>9190.36274</v>
      </c>
      <c r="F26" s="632">
        <f t="shared" si="5"/>
        <v>19495.071939999998</v>
      </c>
      <c r="G26" s="634">
        <f t="shared" si="5"/>
        <v>59911.1</v>
      </c>
      <c r="H26" s="633">
        <f t="shared" si="5"/>
        <v>18896.886635999996</v>
      </c>
      <c r="I26" s="632">
        <f t="shared" si="5"/>
        <v>5514.579102</v>
      </c>
      <c r="J26" s="633">
        <f t="shared" si="5"/>
        <v>11127.864262</v>
      </c>
      <c r="K26" s="633">
        <f t="shared" si="5"/>
        <v>35539.33</v>
      </c>
      <c r="L26" s="633">
        <f t="shared" si="5"/>
        <v>12669.663168000001</v>
      </c>
      <c r="M26" s="633">
        <f t="shared" si="5"/>
        <v>3728.945376</v>
      </c>
      <c r="N26" s="632">
        <f t="shared" si="5"/>
        <v>7910.031456</v>
      </c>
      <c r="O26" s="632">
        <f t="shared" si="5"/>
        <v>24308.64</v>
      </c>
      <c r="P26" s="633">
        <f t="shared" si="5"/>
        <v>30451.719803999997</v>
      </c>
      <c r="Q26" s="633">
        <f t="shared" si="5"/>
        <v>8962.574478</v>
      </c>
      <c r="R26" s="633">
        <f t="shared" si="5"/>
        <v>19011.875718</v>
      </c>
      <c r="S26" s="633">
        <f t="shared" si="5"/>
        <v>58426.17</v>
      </c>
      <c r="T26" s="633">
        <f>T21+T25</f>
        <v>773.9455160000016</v>
      </c>
      <c r="U26" s="632">
        <f>U21+U25</f>
        <v>227.7882619999996</v>
      </c>
      <c r="V26" s="632">
        <f>V21+V25</f>
        <v>483.19622199999776</v>
      </c>
      <c r="W26" s="632">
        <f>W21+W25</f>
        <v>1484.9299999999969</v>
      </c>
      <c r="AD26" s="119">
        <f t="shared" si="0"/>
        <v>21.15</v>
      </c>
    </row>
    <row r="27" ht="106.5" customHeight="1">
      <c r="AD27" s="119" t="e">
        <f t="shared" si="0"/>
        <v>#DIV/0!</v>
      </c>
    </row>
    <row r="28" spans="2:33" ht="16.5" customHeight="1">
      <c r="B28" s="14" t="s">
        <v>12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881" t="s">
        <v>13</v>
      </c>
      <c r="U28" s="881"/>
      <c r="V28" s="83"/>
      <c r="W28" s="14"/>
      <c r="X28" s="15"/>
      <c r="Y28" s="15"/>
      <c r="Z28" s="15"/>
      <c r="AA28" s="15"/>
      <c r="AB28" s="15"/>
      <c r="AD28" s="119" t="e">
        <f t="shared" si="0"/>
        <v>#DIV/0!</v>
      </c>
      <c r="AF28" s="15"/>
      <c r="AG28" s="15"/>
    </row>
    <row r="29" spans="3:33" ht="12.75" customHeight="1"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81" t="s">
        <v>14</v>
      </c>
      <c r="T29" s="881"/>
      <c r="U29" s="881"/>
      <c r="V29" s="881"/>
      <c r="W29" s="83"/>
      <c r="X29" s="83"/>
      <c r="Y29" s="83"/>
      <c r="Z29" s="83"/>
      <c r="AA29" s="83"/>
      <c r="AB29" s="83"/>
      <c r="AC29" s="83"/>
      <c r="AD29" s="119" t="e">
        <f t="shared" si="0"/>
        <v>#DIV/0!</v>
      </c>
      <c r="AE29" s="83"/>
      <c r="AF29" s="15"/>
      <c r="AG29" s="15"/>
    </row>
    <row r="30" spans="3:38" ht="12.75" customHeight="1"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81" t="s">
        <v>637</v>
      </c>
      <c r="S30" s="881"/>
      <c r="T30" s="881"/>
      <c r="U30" s="881"/>
      <c r="V30" s="881"/>
      <c r="W30" s="881"/>
      <c r="X30" s="119"/>
      <c r="Y30" s="119"/>
      <c r="Z30" s="119"/>
      <c r="AA30" s="119"/>
      <c r="AB30" s="119"/>
      <c r="AC30" s="119"/>
      <c r="AD30" s="119" t="e">
        <f t="shared" si="0"/>
        <v>#DIV/0!</v>
      </c>
      <c r="AE30" s="119"/>
      <c r="AF30" s="119"/>
      <c r="AG30" s="119"/>
      <c r="AH30" s="119"/>
      <c r="AI30" s="119"/>
      <c r="AJ30" s="119"/>
      <c r="AK30" s="119"/>
      <c r="AL30" s="119"/>
    </row>
    <row r="31" spans="2:33" ht="12.7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83"/>
      <c r="M31" s="14"/>
      <c r="N31" s="14"/>
      <c r="O31" s="14"/>
      <c r="P31" s="14"/>
      <c r="Q31" s="14"/>
      <c r="R31" s="14"/>
      <c r="S31" s="14"/>
      <c r="T31" s="1" t="s">
        <v>84</v>
      </c>
      <c r="U31" s="1"/>
      <c r="V31" s="1"/>
      <c r="W31" s="1"/>
      <c r="X31" s="14"/>
      <c r="Y31" s="14"/>
      <c r="Z31" s="14"/>
      <c r="AA31" s="14"/>
      <c r="AD31" s="119" t="e">
        <f t="shared" si="0"/>
        <v>#DIV/0!</v>
      </c>
      <c r="AF31" s="14"/>
      <c r="AG31" s="14"/>
    </row>
    <row r="32" spans="12:30" ht="12.75">
      <c r="L32" s="83"/>
      <c r="AD32" s="119" t="e">
        <f t="shared" si="0"/>
        <v>#DIV/0!</v>
      </c>
    </row>
    <row r="33" spans="12:30" ht="12.75">
      <c r="L33" s="83"/>
      <c r="AD33" s="119" t="e">
        <f t="shared" si="0"/>
        <v>#DIV/0!</v>
      </c>
    </row>
    <row r="34" spans="12:30" ht="12.75">
      <c r="L34" s="83"/>
      <c r="AD34" s="119" t="e">
        <f t="shared" si="0"/>
        <v>#DIV/0!</v>
      </c>
    </row>
    <row r="35" spans="12:30" ht="12.75">
      <c r="L35" s="83"/>
      <c r="AD35" s="119" t="e">
        <f t="shared" si="0"/>
        <v>#DIV/0!</v>
      </c>
    </row>
    <row r="36" spans="12:30" ht="12.75">
      <c r="L36" s="83"/>
      <c r="AD36" s="119" t="e">
        <f t="shared" si="0"/>
        <v>#DIV/0!</v>
      </c>
    </row>
    <row r="37" spans="12:30" ht="12.75">
      <c r="L37" s="83"/>
      <c r="M37">
        <f>L37*55%</f>
        <v>0</v>
      </c>
      <c r="AD37" s="119" t="e">
        <f t="shared" si="0"/>
        <v>#DIV/0!</v>
      </c>
    </row>
    <row r="38" ht="12.75">
      <c r="AD38" s="119" t="e">
        <f t="shared" si="0"/>
        <v>#DIV/0!</v>
      </c>
    </row>
    <row r="59" spans="16:18" ht="12.75">
      <c r="P59" s="152"/>
      <c r="Q59" s="152"/>
      <c r="R59" s="152"/>
    </row>
    <row r="61" spans="14:20" ht="21" customHeight="1">
      <c r="N61" s="853"/>
      <c r="O61" s="853"/>
      <c r="P61" s="853"/>
      <c r="Q61" s="853"/>
      <c r="R61" s="853"/>
      <c r="S61" s="853"/>
      <c r="T61" s="853"/>
    </row>
  </sheetData>
  <sheetProtection/>
  <mergeCells count="20">
    <mergeCell ref="Z17:AC17"/>
    <mergeCell ref="AC10:AE10"/>
    <mergeCell ref="B11:B12"/>
    <mergeCell ref="C11:C12"/>
    <mergeCell ref="T28:U28"/>
    <mergeCell ref="D11:G12"/>
    <mergeCell ref="H12:K12"/>
    <mergeCell ref="L12:O12"/>
    <mergeCell ref="P12:S12"/>
    <mergeCell ref="H11:S11"/>
    <mergeCell ref="H2:P2"/>
    <mergeCell ref="B3:V3"/>
    <mergeCell ref="B4:V4"/>
    <mergeCell ref="B6:V6"/>
    <mergeCell ref="B8:D8"/>
    <mergeCell ref="N61:T61"/>
    <mergeCell ref="V10:W10"/>
    <mergeCell ref="T11:W12"/>
    <mergeCell ref="S29:V29"/>
    <mergeCell ref="R30:W30"/>
  </mergeCells>
  <printOptions horizontalCentered="1"/>
  <pageMargins left="0.7086614173228347" right="0.7086614173228347" top="0.85" bottom="0" header="1.12" footer="0.31496062992125984"/>
  <pageSetup fitToHeight="1" fitToWidth="1" horizontalDpi="600" verticalDpi="600" orientation="landscape" paperSize="9" scale="64" r:id="rId1"/>
  <colBreaks count="1" manualBreakCount="1">
    <brk id="24" max="6553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P44"/>
  <sheetViews>
    <sheetView view="pageBreakPreview" zoomScaleSheetLayoutView="100" zoomScalePageLayoutView="0" workbookViewId="0" topLeftCell="A22">
      <selection activeCell="B40" sqref="B40"/>
    </sheetView>
  </sheetViews>
  <sheetFormatPr defaultColWidth="9.140625" defaultRowHeight="12.75"/>
  <cols>
    <col min="1" max="1" width="8.57421875" style="804" customWidth="1"/>
    <col min="2" max="2" width="20.57421875" style="804" customWidth="1"/>
    <col min="3" max="3" width="10.57421875" style="804" customWidth="1"/>
    <col min="4" max="4" width="15.140625" style="804" customWidth="1"/>
    <col min="5" max="16" width="7.421875" style="804" customWidth="1"/>
    <col min="17" max="16384" width="9.140625" style="804" customWidth="1"/>
  </cols>
  <sheetData>
    <row r="1" spans="8:12" ht="12.75">
      <c r="H1" s="1120"/>
      <c r="I1" s="1120"/>
      <c r="L1" s="805" t="s">
        <v>1009</v>
      </c>
    </row>
    <row r="2" spans="4:12" ht="12.75">
      <c r="D2" s="1120" t="s">
        <v>1010</v>
      </c>
      <c r="E2" s="1120"/>
      <c r="F2" s="1120"/>
      <c r="G2" s="1120"/>
      <c r="H2" s="806"/>
      <c r="I2" s="806"/>
      <c r="L2" s="805"/>
    </row>
    <row r="3" spans="1:13" s="807" customFormat="1" ht="15.75">
      <c r="A3" s="1121" t="s">
        <v>859</v>
      </c>
      <c r="B3" s="1121"/>
      <c r="C3" s="1121"/>
      <c r="D3" s="1121"/>
      <c r="E3" s="1121"/>
      <c r="F3" s="1121"/>
      <c r="G3" s="1121"/>
      <c r="H3" s="1121"/>
      <c r="I3" s="1121"/>
      <c r="J3" s="1121"/>
      <c r="K3" s="1121"/>
      <c r="L3" s="1121"/>
      <c r="M3" s="1121"/>
    </row>
    <row r="4" spans="1:13" s="807" customFormat="1" ht="20.25" customHeight="1">
      <c r="A4" s="1121" t="s">
        <v>1052</v>
      </c>
      <c r="B4" s="1121"/>
      <c r="C4" s="1121"/>
      <c r="D4" s="1121"/>
      <c r="E4" s="1121"/>
      <c r="F4" s="1121"/>
      <c r="G4" s="1121"/>
      <c r="H4" s="1121"/>
      <c r="I4" s="1121"/>
      <c r="J4" s="1121"/>
      <c r="K4" s="1121"/>
      <c r="L4" s="1121"/>
      <c r="M4" s="1121"/>
    </row>
    <row r="6" spans="1:10" ht="12.75">
      <c r="A6" s="808" t="s">
        <v>752</v>
      </c>
      <c r="B6" s="809"/>
      <c r="C6" s="808"/>
      <c r="D6" s="808"/>
      <c r="E6" s="808"/>
      <c r="F6" s="808"/>
      <c r="G6" s="808"/>
      <c r="H6" s="808"/>
      <c r="I6" s="808"/>
      <c r="J6" s="808"/>
    </row>
    <row r="7" spans="1:2" ht="12.75">
      <c r="A7" s="810"/>
      <c r="B7" s="810"/>
    </row>
    <row r="8" spans="1:13" s="810" customFormat="1" ht="15" customHeight="1">
      <c r="A8" s="804"/>
      <c r="B8" s="804"/>
      <c r="C8" s="804"/>
      <c r="D8" s="804"/>
      <c r="E8" s="804"/>
      <c r="F8" s="804"/>
      <c r="G8" s="804"/>
      <c r="H8" s="804"/>
      <c r="I8" s="804"/>
      <c r="J8" s="804"/>
      <c r="K8" s="1122" t="s">
        <v>826</v>
      </c>
      <c r="L8" s="1122"/>
      <c r="M8" s="1122"/>
    </row>
    <row r="9" spans="1:16" s="810" customFormat="1" ht="20.25" customHeight="1">
      <c r="A9" s="1075" t="s">
        <v>2</v>
      </c>
      <c r="B9" s="1075" t="s">
        <v>3</v>
      </c>
      <c r="C9" s="1124" t="s">
        <v>1011</v>
      </c>
      <c r="D9" s="1124" t="s">
        <v>1012</v>
      </c>
      <c r="E9" s="1126" t="s">
        <v>1013</v>
      </c>
      <c r="F9" s="1126"/>
      <c r="G9" s="1126"/>
      <c r="H9" s="1126"/>
      <c r="I9" s="1126"/>
      <c r="J9" s="1126"/>
      <c r="K9" s="1126"/>
      <c r="L9" s="1126"/>
      <c r="M9" s="1126"/>
      <c r="N9" s="1126"/>
      <c r="O9" s="1126"/>
      <c r="P9" s="1126"/>
    </row>
    <row r="10" spans="1:16" s="810" customFormat="1" ht="35.25" customHeight="1">
      <c r="A10" s="1123"/>
      <c r="B10" s="1123"/>
      <c r="C10" s="1125"/>
      <c r="D10" s="1125"/>
      <c r="E10" s="811" t="s">
        <v>1014</v>
      </c>
      <c r="F10" s="811" t="s">
        <v>1015</v>
      </c>
      <c r="G10" s="811" t="s">
        <v>1016</v>
      </c>
      <c r="H10" s="811" t="s">
        <v>1017</v>
      </c>
      <c r="I10" s="811" t="s">
        <v>1018</v>
      </c>
      <c r="J10" s="811" t="s">
        <v>1019</v>
      </c>
      <c r="K10" s="811" t="s">
        <v>1020</v>
      </c>
      <c r="L10" s="811" t="s">
        <v>1021</v>
      </c>
      <c r="M10" s="811" t="s">
        <v>1022</v>
      </c>
      <c r="N10" s="812" t="s">
        <v>1053</v>
      </c>
      <c r="O10" s="812" t="s">
        <v>1026</v>
      </c>
      <c r="P10" s="812" t="s">
        <v>1054</v>
      </c>
    </row>
    <row r="11" spans="1:16" s="810" customFormat="1" ht="18.75" customHeight="1">
      <c r="A11" s="777">
        <v>1</v>
      </c>
      <c r="B11" s="777">
        <v>2</v>
      </c>
      <c r="C11" s="777">
        <v>3</v>
      </c>
      <c r="D11" s="777">
        <v>4</v>
      </c>
      <c r="E11" s="777">
        <v>5</v>
      </c>
      <c r="F11" s="777">
        <v>6</v>
      </c>
      <c r="G11" s="777">
        <v>7</v>
      </c>
      <c r="H11" s="777">
        <v>8</v>
      </c>
      <c r="I11" s="777">
        <v>9</v>
      </c>
      <c r="J11" s="777">
        <v>10</v>
      </c>
      <c r="K11" s="777">
        <v>11</v>
      </c>
      <c r="L11" s="777">
        <v>12</v>
      </c>
      <c r="M11" s="777">
        <v>13</v>
      </c>
      <c r="N11" s="812">
        <v>14</v>
      </c>
      <c r="O11" s="812">
        <v>15</v>
      </c>
      <c r="P11" s="812">
        <v>16</v>
      </c>
    </row>
    <row r="12" spans="1:16" ht="15">
      <c r="A12" s="262">
        <v>1</v>
      </c>
      <c r="B12" s="682" t="s">
        <v>841</v>
      </c>
      <c r="C12" s="779">
        <v>1972</v>
      </c>
      <c r="D12" s="779">
        <v>1972</v>
      </c>
      <c r="E12" s="779">
        <v>1972</v>
      </c>
      <c r="F12" s="779">
        <v>1972</v>
      </c>
      <c r="G12" s="779">
        <v>1972</v>
      </c>
      <c r="H12" s="779">
        <v>1972</v>
      </c>
      <c r="I12" s="779">
        <v>1972</v>
      </c>
      <c r="J12" s="779">
        <v>1972</v>
      </c>
      <c r="K12" s="779">
        <v>1972</v>
      </c>
      <c r="L12" s="779">
        <v>1972</v>
      </c>
      <c r="M12" s="779">
        <v>1972</v>
      </c>
      <c r="N12" s="813">
        <v>1972</v>
      </c>
      <c r="O12" s="813">
        <v>1972</v>
      </c>
      <c r="P12" s="813">
        <v>1972</v>
      </c>
    </row>
    <row r="13" spans="1:16" ht="15">
      <c r="A13" s="260">
        <v>2</v>
      </c>
      <c r="B13" s="682" t="s">
        <v>833</v>
      </c>
      <c r="C13" s="779">
        <v>1964</v>
      </c>
      <c r="D13" s="779">
        <v>1964</v>
      </c>
      <c r="E13" s="779">
        <v>1964</v>
      </c>
      <c r="F13" s="779">
        <v>1964</v>
      </c>
      <c r="G13" s="779">
        <v>1963</v>
      </c>
      <c r="H13" s="779">
        <v>1963</v>
      </c>
      <c r="I13" s="779">
        <v>1963</v>
      </c>
      <c r="J13" s="779">
        <v>1963</v>
      </c>
      <c r="K13" s="779">
        <v>1963</v>
      </c>
      <c r="L13" s="779">
        <v>1963</v>
      </c>
      <c r="M13" s="779">
        <v>1963</v>
      </c>
      <c r="N13" s="813">
        <v>1963</v>
      </c>
      <c r="O13" s="813">
        <v>1963</v>
      </c>
      <c r="P13" s="813">
        <v>1963</v>
      </c>
    </row>
    <row r="14" spans="1:16" s="814" customFormat="1" ht="12" customHeight="1">
      <c r="A14" s="260">
        <v>3</v>
      </c>
      <c r="B14" s="682" t="s">
        <v>839</v>
      </c>
      <c r="C14" s="779">
        <v>1934</v>
      </c>
      <c r="D14" s="779">
        <v>1934</v>
      </c>
      <c r="E14" s="779">
        <v>1934</v>
      </c>
      <c r="F14" s="779">
        <v>1934</v>
      </c>
      <c r="G14" s="779">
        <v>1934</v>
      </c>
      <c r="H14" s="779">
        <v>1934</v>
      </c>
      <c r="I14" s="779">
        <v>1934</v>
      </c>
      <c r="J14" s="779">
        <v>1934</v>
      </c>
      <c r="K14" s="779">
        <v>1934</v>
      </c>
      <c r="L14" s="779">
        <v>1934</v>
      </c>
      <c r="M14" s="779">
        <v>1934</v>
      </c>
      <c r="N14" s="813">
        <v>1934</v>
      </c>
      <c r="O14" s="813">
        <v>1934</v>
      </c>
      <c r="P14" s="813">
        <v>1934</v>
      </c>
    </row>
    <row r="15" spans="1:16" ht="15">
      <c r="A15" s="260">
        <v>4</v>
      </c>
      <c r="B15" s="682" t="s">
        <v>743</v>
      </c>
      <c r="C15" s="779">
        <v>2503</v>
      </c>
      <c r="D15" s="779">
        <v>2503</v>
      </c>
      <c r="E15" s="779">
        <v>2503</v>
      </c>
      <c r="F15" s="779">
        <v>2503</v>
      </c>
      <c r="G15" s="779">
        <v>2503</v>
      </c>
      <c r="H15" s="779">
        <v>2503</v>
      </c>
      <c r="I15" s="779">
        <v>2503</v>
      </c>
      <c r="J15" s="779">
        <v>2503</v>
      </c>
      <c r="K15" s="779">
        <v>2503</v>
      </c>
      <c r="L15" s="779">
        <v>2503</v>
      </c>
      <c r="M15" s="779">
        <v>2503</v>
      </c>
      <c r="N15" s="813">
        <v>2503</v>
      </c>
      <c r="O15" s="813">
        <v>2503</v>
      </c>
      <c r="P15" s="813">
        <v>2503</v>
      </c>
    </row>
    <row r="16" spans="1:16" ht="15">
      <c r="A16" s="260">
        <v>5</v>
      </c>
      <c r="B16" s="682" t="s">
        <v>748</v>
      </c>
      <c r="C16" s="779">
        <v>2901</v>
      </c>
      <c r="D16" s="779">
        <v>2901</v>
      </c>
      <c r="E16" s="779">
        <v>2901</v>
      </c>
      <c r="F16" s="779">
        <v>2901</v>
      </c>
      <c r="G16" s="779">
        <v>2901</v>
      </c>
      <c r="H16" s="779">
        <v>2901</v>
      </c>
      <c r="I16" s="779">
        <v>2901</v>
      </c>
      <c r="J16" s="779">
        <v>2901</v>
      </c>
      <c r="K16" s="779">
        <v>2901</v>
      </c>
      <c r="L16" s="779">
        <v>2901</v>
      </c>
      <c r="M16" s="779">
        <v>2901</v>
      </c>
      <c r="N16" s="813">
        <v>2901</v>
      </c>
      <c r="O16" s="813">
        <v>2901</v>
      </c>
      <c r="P16" s="813">
        <v>2901</v>
      </c>
    </row>
    <row r="17" spans="1:16" ht="15">
      <c r="A17" s="260">
        <v>6</v>
      </c>
      <c r="B17" s="682" t="s">
        <v>747</v>
      </c>
      <c r="C17" s="779">
        <v>2647</v>
      </c>
      <c r="D17" s="779">
        <v>2647</v>
      </c>
      <c r="E17" s="779">
        <v>2647</v>
      </c>
      <c r="F17" s="779">
        <v>2647</v>
      </c>
      <c r="G17" s="779">
        <v>2647</v>
      </c>
      <c r="H17" s="779">
        <v>2647</v>
      </c>
      <c r="I17" s="779">
        <v>2647</v>
      </c>
      <c r="J17" s="779">
        <v>2647</v>
      </c>
      <c r="K17" s="779">
        <v>2647</v>
      </c>
      <c r="L17" s="779">
        <v>2647</v>
      </c>
      <c r="M17" s="779">
        <v>2647</v>
      </c>
      <c r="N17" s="813">
        <v>2647</v>
      </c>
      <c r="O17" s="813">
        <v>2647</v>
      </c>
      <c r="P17" s="813">
        <v>2647</v>
      </c>
    </row>
    <row r="18" spans="1:16" s="814" customFormat="1" ht="12.75" customHeight="1">
      <c r="A18" s="260">
        <v>7</v>
      </c>
      <c r="B18" s="682" t="s">
        <v>737</v>
      </c>
      <c r="C18" s="779">
        <v>962</v>
      </c>
      <c r="D18" s="779">
        <v>961</v>
      </c>
      <c r="E18" s="779">
        <v>961</v>
      </c>
      <c r="F18" s="779">
        <v>961</v>
      </c>
      <c r="G18" s="779">
        <v>961</v>
      </c>
      <c r="H18" s="779">
        <v>961</v>
      </c>
      <c r="I18" s="779">
        <v>961</v>
      </c>
      <c r="J18" s="779">
        <v>961</v>
      </c>
      <c r="K18" s="779">
        <v>961</v>
      </c>
      <c r="L18" s="779">
        <v>961</v>
      </c>
      <c r="M18" s="779">
        <v>961</v>
      </c>
      <c r="N18" s="813">
        <v>961</v>
      </c>
      <c r="O18" s="813">
        <v>961</v>
      </c>
      <c r="P18" s="813">
        <v>961</v>
      </c>
    </row>
    <row r="19" spans="1:16" s="814" customFormat="1" ht="12.75" customHeight="1">
      <c r="A19" s="260">
        <v>8</v>
      </c>
      <c r="B19" s="682" t="s">
        <v>749</v>
      </c>
      <c r="C19" s="779">
        <v>1277</v>
      </c>
      <c r="D19" s="779">
        <v>1277</v>
      </c>
      <c r="E19" s="779">
        <v>1277</v>
      </c>
      <c r="F19" s="779">
        <v>1277</v>
      </c>
      <c r="G19" s="779">
        <v>1277</v>
      </c>
      <c r="H19" s="779">
        <v>1277</v>
      </c>
      <c r="I19" s="779">
        <v>1277</v>
      </c>
      <c r="J19" s="779">
        <v>1277</v>
      </c>
      <c r="K19" s="779">
        <v>1277</v>
      </c>
      <c r="L19" s="779">
        <v>1277</v>
      </c>
      <c r="M19" s="779">
        <v>1277</v>
      </c>
      <c r="N19" s="813">
        <v>1277</v>
      </c>
      <c r="O19" s="813">
        <v>1277</v>
      </c>
      <c r="P19" s="813">
        <v>1277</v>
      </c>
    </row>
    <row r="20" spans="1:16" s="814" customFormat="1" ht="12.75" customHeight="1">
      <c r="A20" s="260">
        <v>9</v>
      </c>
      <c r="B20" s="682" t="s">
        <v>834</v>
      </c>
      <c r="C20" s="779">
        <v>2178</v>
      </c>
      <c r="D20" s="779">
        <v>2178</v>
      </c>
      <c r="E20" s="779">
        <v>2178</v>
      </c>
      <c r="F20" s="779">
        <v>2178</v>
      </c>
      <c r="G20" s="779">
        <v>2178</v>
      </c>
      <c r="H20" s="779">
        <v>2178</v>
      </c>
      <c r="I20" s="779">
        <v>2178</v>
      </c>
      <c r="J20" s="779">
        <v>2178</v>
      </c>
      <c r="K20" s="779">
        <v>2178</v>
      </c>
      <c r="L20" s="779">
        <v>2178</v>
      </c>
      <c r="M20" s="779">
        <v>2178</v>
      </c>
      <c r="N20" s="813">
        <v>2178</v>
      </c>
      <c r="O20" s="813">
        <v>2178</v>
      </c>
      <c r="P20" s="813">
        <v>2178</v>
      </c>
    </row>
    <row r="21" spans="1:16" ht="12.75" customHeight="1">
      <c r="A21" s="260">
        <v>10</v>
      </c>
      <c r="B21" s="682" t="s">
        <v>739</v>
      </c>
      <c r="C21" s="779">
        <v>584</v>
      </c>
      <c r="D21" s="779">
        <v>568</v>
      </c>
      <c r="E21" s="779">
        <v>566</v>
      </c>
      <c r="F21" s="779">
        <v>566</v>
      </c>
      <c r="G21" s="779">
        <v>566</v>
      </c>
      <c r="H21" s="779">
        <v>566</v>
      </c>
      <c r="I21" s="779">
        <v>566</v>
      </c>
      <c r="J21" s="779">
        <v>566</v>
      </c>
      <c r="K21" s="779">
        <v>566</v>
      </c>
      <c r="L21" s="779">
        <v>566</v>
      </c>
      <c r="M21" s="779">
        <v>566</v>
      </c>
      <c r="N21" s="813">
        <v>566</v>
      </c>
      <c r="O21" s="813">
        <v>566</v>
      </c>
      <c r="P21" s="813">
        <v>566</v>
      </c>
    </row>
    <row r="22" spans="1:16" ht="15">
      <c r="A22" s="260">
        <v>11</v>
      </c>
      <c r="B22" s="682" t="s">
        <v>840</v>
      </c>
      <c r="C22" s="779">
        <v>1008</v>
      </c>
      <c r="D22" s="779">
        <v>1002</v>
      </c>
      <c r="E22" s="779">
        <v>1000</v>
      </c>
      <c r="F22" s="779">
        <v>1000</v>
      </c>
      <c r="G22" s="779">
        <v>1000</v>
      </c>
      <c r="H22" s="779">
        <v>1000</v>
      </c>
      <c r="I22" s="779">
        <v>1000</v>
      </c>
      <c r="J22" s="779">
        <v>1000</v>
      </c>
      <c r="K22" s="779">
        <v>1000</v>
      </c>
      <c r="L22" s="779">
        <v>1000</v>
      </c>
      <c r="M22" s="779">
        <v>1000</v>
      </c>
      <c r="N22" s="813">
        <v>1000</v>
      </c>
      <c r="O22" s="813">
        <v>1000</v>
      </c>
      <c r="P22" s="813">
        <v>1000</v>
      </c>
    </row>
    <row r="23" spans="1:16" ht="15">
      <c r="A23" s="260">
        <v>12</v>
      </c>
      <c r="B23" s="682" t="s">
        <v>837</v>
      </c>
      <c r="C23" s="779">
        <v>1833</v>
      </c>
      <c r="D23" s="779">
        <v>1833</v>
      </c>
      <c r="E23" s="779">
        <v>1833</v>
      </c>
      <c r="F23" s="779">
        <v>1833</v>
      </c>
      <c r="G23" s="779">
        <v>1833</v>
      </c>
      <c r="H23" s="779">
        <v>1833</v>
      </c>
      <c r="I23" s="779">
        <v>1833</v>
      </c>
      <c r="J23" s="779">
        <v>1833</v>
      </c>
      <c r="K23" s="779">
        <v>1833</v>
      </c>
      <c r="L23" s="779">
        <v>1833</v>
      </c>
      <c r="M23" s="779">
        <v>1833</v>
      </c>
      <c r="N23" s="813">
        <v>1833</v>
      </c>
      <c r="O23" s="813">
        <v>1833</v>
      </c>
      <c r="P23" s="813">
        <v>1833</v>
      </c>
    </row>
    <row r="24" spans="1:16" ht="15">
      <c r="A24" s="260">
        <v>13</v>
      </c>
      <c r="B24" s="682" t="s">
        <v>831</v>
      </c>
      <c r="C24" s="779">
        <v>1238</v>
      </c>
      <c r="D24" s="779">
        <v>1238</v>
      </c>
      <c r="E24" s="779">
        <v>1238</v>
      </c>
      <c r="F24" s="779">
        <v>1238</v>
      </c>
      <c r="G24" s="779">
        <v>1238</v>
      </c>
      <c r="H24" s="779">
        <v>1238</v>
      </c>
      <c r="I24" s="779">
        <v>1238</v>
      </c>
      <c r="J24" s="779">
        <v>1238</v>
      </c>
      <c r="K24" s="779">
        <v>1238</v>
      </c>
      <c r="L24" s="779">
        <v>1238</v>
      </c>
      <c r="M24" s="779">
        <v>1238</v>
      </c>
      <c r="N24" s="813">
        <v>1238</v>
      </c>
      <c r="O24" s="813">
        <v>1238</v>
      </c>
      <c r="P24" s="813">
        <v>1238</v>
      </c>
    </row>
    <row r="25" spans="1:16" s="814" customFormat="1" ht="12.75" customHeight="1">
      <c r="A25" s="260">
        <v>14</v>
      </c>
      <c r="B25" s="682" t="s">
        <v>740</v>
      </c>
      <c r="C25" s="779">
        <v>1135</v>
      </c>
      <c r="D25" s="779">
        <v>1135</v>
      </c>
      <c r="E25" s="779">
        <v>1135</v>
      </c>
      <c r="F25" s="779">
        <v>1135</v>
      </c>
      <c r="G25" s="779">
        <v>1135</v>
      </c>
      <c r="H25" s="779">
        <v>1135</v>
      </c>
      <c r="I25" s="779">
        <v>1122</v>
      </c>
      <c r="J25" s="779">
        <v>938</v>
      </c>
      <c r="K25" s="779">
        <v>846</v>
      </c>
      <c r="L25" s="779">
        <v>845</v>
      </c>
      <c r="M25" s="779">
        <v>845</v>
      </c>
      <c r="N25" s="813">
        <v>845</v>
      </c>
      <c r="O25" s="813">
        <v>845</v>
      </c>
      <c r="P25" s="813">
        <v>845</v>
      </c>
    </row>
    <row r="26" spans="1:16" s="814" customFormat="1" ht="12.75" customHeight="1">
      <c r="A26" s="260">
        <v>15</v>
      </c>
      <c r="B26" s="682" t="s">
        <v>835</v>
      </c>
      <c r="C26" s="779">
        <v>1432</v>
      </c>
      <c r="D26" s="779">
        <v>1432</v>
      </c>
      <c r="E26" s="779">
        <v>1432</v>
      </c>
      <c r="F26" s="779">
        <v>1432</v>
      </c>
      <c r="G26" s="779">
        <v>1432</v>
      </c>
      <c r="H26" s="779">
        <v>1432</v>
      </c>
      <c r="I26" s="779">
        <v>1432</v>
      </c>
      <c r="J26" s="779">
        <v>1432</v>
      </c>
      <c r="K26" s="779">
        <v>1432</v>
      </c>
      <c r="L26" s="779">
        <v>1432</v>
      </c>
      <c r="M26" s="779">
        <v>1432</v>
      </c>
      <c r="N26" s="813">
        <v>1432</v>
      </c>
      <c r="O26" s="813">
        <v>1432</v>
      </c>
      <c r="P26" s="813">
        <v>1432</v>
      </c>
    </row>
    <row r="27" spans="1:16" s="814" customFormat="1" ht="12.75" customHeight="1">
      <c r="A27" s="260">
        <v>16</v>
      </c>
      <c r="B27" s="682" t="s">
        <v>832</v>
      </c>
      <c r="C27" s="779">
        <v>1826</v>
      </c>
      <c r="D27" s="779">
        <v>1826</v>
      </c>
      <c r="E27" s="779">
        <v>1826</v>
      </c>
      <c r="F27" s="779">
        <v>1826</v>
      </c>
      <c r="G27" s="779">
        <v>1826</v>
      </c>
      <c r="H27" s="779">
        <v>1826</v>
      </c>
      <c r="I27" s="779">
        <v>1826</v>
      </c>
      <c r="J27" s="779">
        <v>1826</v>
      </c>
      <c r="K27" s="779">
        <v>1826</v>
      </c>
      <c r="L27" s="779">
        <v>1826</v>
      </c>
      <c r="M27" s="779">
        <v>1826</v>
      </c>
      <c r="N27" s="813">
        <v>1826</v>
      </c>
      <c r="O27" s="813">
        <v>1826</v>
      </c>
      <c r="P27" s="813">
        <v>1826</v>
      </c>
    </row>
    <row r="28" spans="1:16" s="814" customFormat="1" ht="12.75" customHeight="1">
      <c r="A28" s="260">
        <v>17</v>
      </c>
      <c r="B28" s="682" t="s">
        <v>733</v>
      </c>
      <c r="C28" s="779">
        <v>1384</v>
      </c>
      <c r="D28" s="779">
        <v>1384</v>
      </c>
      <c r="E28" s="779">
        <v>1384</v>
      </c>
      <c r="F28" s="779">
        <v>1384</v>
      </c>
      <c r="G28" s="779">
        <v>1384</v>
      </c>
      <c r="H28" s="779">
        <v>1384</v>
      </c>
      <c r="I28" s="779">
        <v>1384</v>
      </c>
      <c r="J28" s="779">
        <v>1384</v>
      </c>
      <c r="K28" s="779">
        <v>1384</v>
      </c>
      <c r="L28" s="779">
        <v>1384</v>
      </c>
      <c r="M28" s="779">
        <v>1384</v>
      </c>
      <c r="N28" s="813">
        <v>1384</v>
      </c>
      <c r="O28" s="813">
        <v>1384</v>
      </c>
      <c r="P28" s="813">
        <v>1384</v>
      </c>
    </row>
    <row r="29" spans="1:16" ht="12.75" customHeight="1">
      <c r="A29" s="260">
        <v>18</v>
      </c>
      <c r="B29" s="682" t="s">
        <v>735</v>
      </c>
      <c r="C29" s="779">
        <v>2327</v>
      </c>
      <c r="D29" s="779">
        <v>2327</v>
      </c>
      <c r="E29" s="779">
        <v>2327</v>
      </c>
      <c r="F29" s="779">
        <v>2327</v>
      </c>
      <c r="G29" s="779">
        <v>2327</v>
      </c>
      <c r="H29" s="779">
        <v>2327</v>
      </c>
      <c r="I29" s="779">
        <v>2327</v>
      </c>
      <c r="J29" s="779">
        <v>2327</v>
      </c>
      <c r="K29" s="779">
        <v>2327</v>
      </c>
      <c r="L29" s="779">
        <v>2327</v>
      </c>
      <c r="M29" s="779">
        <v>2327</v>
      </c>
      <c r="N29" s="813">
        <v>2327</v>
      </c>
      <c r="O29" s="813">
        <v>2327</v>
      </c>
      <c r="P29" s="813">
        <v>2325</v>
      </c>
    </row>
    <row r="30" spans="1:16" ht="15">
      <c r="A30" s="260">
        <v>19</v>
      </c>
      <c r="B30" s="682" t="s">
        <v>732</v>
      </c>
      <c r="C30" s="779">
        <v>2011</v>
      </c>
      <c r="D30" s="779">
        <v>2011</v>
      </c>
      <c r="E30" s="779">
        <v>2011</v>
      </c>
      <c r="F30" s="779">
        <v>2011</v>
      </c>
      <c r="G30" s="779">
        <v>2011</v>
      </c>
      <c r="H30" s="779">
        <v>2011</v>
      </c>
      <c r="I30" s="779">
        <v>2011</v>
      </c>
      <c r="J30" s="779">
        <v>2011</v>
      </c>
      <c r="K30" s="779">
        <v>2011</v>
      </c>
      <c r="L30" s="779">
        <v>2011</v>
      </c>
      <c r="M30" s="779">
        <v>2011</v>
      </c>
      <c r="N30" s="813">
        <v>2011</v>
      </c>
      <c r="O30" s="813">
        <v>2011</v>
      </c>
      <c r="P30" s="813">
        <v>2011</v>
      </c>
    </row>
    <row r="31" spans="1:16" ht="15">
      <c r="A31" s="260">
        <v>20</v>
      </c>
      <c r="B31" s="682" t="s">
        <v>836</v>
      </c>
      <c r="C31" s="779">
        <v>2265</v>
      </c>
      <c r="D31" s="779">
        <v>2265</v>
      </c>
      <c r="E31" s="779">
        <v>2265</v>
      </c>
      <c r="F31" s="779">
        <v>2265</v>
      </c>
      <c r="G31" s="779">
        <v>2265</v>
      </c>
      <c r="H31" s="779">
        <v>2265</v>
      </c>
      <c r="I31" s="779">
        <v>2265</v>
      </c>
      <c r="J31" s="779">
        <v>2265</v>
      </c>
      <c r="K31" s="779">
        <v>2265</v>
      </c>
      <c r="L31" s="779">
        <v>2265</v>
      </c>
      <c r="M31" s="779">
        <v>2265</v>
      </c>
      <c r="N31" s="813">
        <v>2265</v>
      </c>
      <c r="O31" s="813">
        <v>2265</v>
      </c>
      <c r="P31" s="813">
        <v>2182</v>
      </c>
    </row>
    <row r="32" spans="1:16" ht="15">
      <c r="A32" s="260">
        <v>21</v>
      </c>
      <c r="B32" s="682" t="s">
        <v>729</v>
      </c>
      <c r="C32" s="779">
        <v>2203</v>
      </c>
      <c r="D32" s="779">
        <v>2203</v>
      </c>
      <c r="E32" s="779">
        <v>2203</v>
      </c>
      <c r="F32" s="779">
        <v>2203</v>
      </c>
      <c r="G32" s="779">
        <v>2203</v>
      </c>
      <c r="H32" s="779">
        <v>2203</v>
      </c>
      <c r="I32" s="779">
        <v>2203</v>
      </c>
      <c r="J32" s="779">
        <v>2203</v>
      </c>
      <c r="K32" s="779">
        <v>2203</v>
      </c>
      <c r="L32" s="779">
        <v>2203</v>
      </c>
      <c r="M32" s="779">
        <v>2203</v>
      </c>
      <c r="N32" s="813">
        <v>2203</v>
      </c>
      <c r="O32" s="813">
        <v>2203</v>
      </c>
      <c r="P32" s="813">
        <v>2203</v>
      </c>
    </row>
    <row r="33" spans="1:16" s="814" customFormat="1" ht="12.75" customHeight="1">
      <c r="A33" s="260">
        <v>22</v>
      </c>
      <c r="B33" s="682" t="s">
        <v>746</v>
      </c>
      <c r="C33" s="779">
        <v>1794</v>
      </c>
      <c r="D33" s="779">
        <v>1794</v>
      </c>
      <c r="E33" s="779">
        <v>1790</v>
      </c>
      <c r="F33" s="779">
        <v>1790</v>
      </c>
      <c r="G33" s="779">
        <v>1790</v>
      </c>
      <c r="H33" s="779">
        <v>1790</v>
      </c>
      <c r="I33" s="779">
        <v>1790</v>
      </c>
      <c r="J33" s="779">
        <v>1790</v>
      </c>
      <c r="K33" s="779">
        <v>1790</v>
      </c>
      <c r="L33" s="779">
        <v>1790</v>
      </c>
      <c r="M33" s="779">
        <v>1790</v>
      </c>
      <c r="N33" s="813">
        <v>1790</v>
      </c>
      <c r="O33" s="813">
        <v>1790</v>
      </c>
      <c r="P33" s="813">
        <v>1790</v>
      </c>
    </row>
    <row r="34" spans="1:16" s="814" customFormat="1" ht="12.75" customHeight="1">
      <c r="A34" s="260">
        <v>23</v>
      </c>
      <c r="B34" s="682" t="s">
        <v>738</v>
      </c>
      <c r="C34" s="779">
        <v>1335</v>
      </c>
      <c r="D34" s="779">
        <v>1335</v>
      </c>
      <c r="E34" s="779">
        <v>1335</v>
      </c>
      <c r="F34" s="779">
        <v>1335</v>
      </c>
      <c r="G34" s="779">
        <v>1335</v>
      </c>
      <c r="H34" s="779">
        <v>1335</v>
      </c>
      <c r="I34" s="779">
        <v>1335</v>
      </c>
      <c r="J34" s="779">
        <v>1335</v>
      </c>
      <c r="K34" s="779">
        <v>1335</v>
      </c>
      <c r="L34" s="779">
        <v>1335</v>
      </c>
      <c r="M34" s="779">
        <v>1335</v>
      </c>
      <c r="N34" s="813">
        <v>1335</v>
      </c>
      <c r="O34" s="813">
        <v>1335</v>
      </c>
      <c r="P34" s="813">
        <v>1335</v>
      </c>
    </row>
    <row r="35" spans="1:16" ht="12.75" customHeight="1">
      <c r="A35" s="260">
        <v>24</v>
      </c>
      <c r="B35" s="682" t="s">
        <v>730</v>
      </c>
      <c r="C35" s="779">
        <v>1477</v>
      </c>
      <c r="D35" s="779">
        <v>1476</v>
      </c>
      <c r="E35" s="779">
        <v>1474</v>
      </c>
      <c r="F35" s="779">
        <v>1474</v>
      </c>
      <c r="G35" s="779">
        <v>1474</v>
      </c>
      <c r="H35" s="779">
        <v>1474</v>
      </c>
      <c r="I35" s="779">
        <v>1474</v>
      </c>
      <c r="J35" s="779">
        <v>1474</v>
      </c>
      <c r="K35" s="779">
        <v>1474</v>
      </c>
      <c r="L35" s="779">
        <v>1474</v>
      </c>
      <c r="M35" s="779">
        <v>1474</v>
      </c>
      <c r="N35" s="813">
        <v>1474</v>
      </c>
      <c r="O35" s="813">
        <v>1474</v>
      </c>
      <c r="P35" s="813">
        <v>1470</v>
      </c>
    </row>
    <row r="36" spans="1:16" ht="15">
      <c r="A36" s="260">
        <v>25</v>
      </c>
      <c r="B36" s="682" t="s">
        <v>736</v>
      </c>
      <c r="C36" s="779">
        <v>867</v>
      </c>
      <c r="D36" s="779">
        <v>867</v>
      </c>
      <c r="E36" s="779">
        <v>867</v>
      </c>
      <c r="F36" s="779">
        <v>867</v>
      </c>
      <c r="G36" s="779">
        <v>867</v>
      </c>
      <c r="H36" s="779">
        <v>867</v>
      </c>
      <c r="I36" s="779">
        <v>867</v>
      </c>
      <c r="J36" s="779">
        <v>867</v>
      </c>
      <c r="K36" s="779">
        <v>867</v>
      </c>
      <c r="L36" s="779">
        <v>867</v>
      </c>
      <c r="M36" s="779">
        <v>867</v>
      </c>
      <c r="N36" s="813">
        <v>867</v>
      </c>
      <c r="O36" s="813">
        <v>867</v>
      </c>
      <c r="P36" s="813">
        <v>867</v>
      </c>
    </row>
    <row r="37" spans="1:16" ht="15">
      <c r="A37" s="260">
        <v>26</v>
      </c>
      <c r="B37" s="682" t="s">
        <v>744</v>
      </c>
      <c r="C37" s="779">
        <v>858</v>
      </c>
      <c r="D37" s="779">
        <v>858</v>
      </c>
      <c r="E37" s="779">
        <v>858</v>
      </c>
      <c r="F37" s="779">
        <v>858</v>
      </c>
      <c r="G37" s="779">
        <v>858</v>
      </c>
      <c r="H37" s="779">
        <v>858</v>
      </c>
      <c r="I37" s="779">
        <v>858</v>
      </c>
      <c r="J37" s="779">
        <v>858</v>
      </c>
      <c r="K37" s="779">
        <v>858</v>
      </c>
      <c r="L37" s="779">
        <v>858</v>
      </c>
      <c r="M37" s="779">
        <v>858</v>
      </c>
      <c r="N37" s="813">
        <v>858</v>
      </c>
      <c r="O37" s="813">
        <v>858</v>
      </c>
      <c r="P37" s="813">
        <v>858</v>
      </c>
    </row>
    <row r="38" spans="1:16" ht="15">
      <c r="A38" s="262">
        <v>27</v>
      </c>
      <c r="B38" s="682" t="s">
        <v>838</v>
      </c>
      <c r="C38" s="779">
        <v>941</v>
      </c>
      <c r="D38" s="779">
        <v>941</v>
      </c>
      <c r="E38" s="779">
        <v>941</v>
      </c>
      <c r="F38" s="779">
        <v>941</v>
      </c>
      <c r="G38" s="779">
        <v>941</v>
      </c>
      <c r="H38" s="779">
        <v>941</v>
      </c>
      <c r="I38" s="779">
        <v>941</v>
      </c>
      <c r="J38" s="779">
        <v>941</v>
      </c>
      <c r="K38" s="779">
        <v>941</v>
      </c>
      <c r="L38" s="779">
        <v>941</v>
      </c>
      <c r="M38" s="779">
        <v>941</v>
      </c>
      <c r="N38" s="813">
        <v>941</v>
      </c>
      <c r="O38" s="813">
        <v>941</v>
      </c>
      <c r="P38" s="813">
        <v>941</v>
      </c>
    </row>
    <row r="39" spans="1:16" ht="15">
      <c r="A39" s="779"/>
      <c r="B39" s="779" t="s">
        <v>19</v>
      </c>
      <c r="C39" s="779">
        <v>44856</v>
      </c>
      <c r="D39" s="779">
        <v>44832</v>
      </c>
      <c r="E39" s="779">
        <v>44822</v>
      </c>
      <c r="F39" s="779">
        <v>44822</v>
      </c>
      <c r="G39" s="779">
        <v>44821</v>
      </c>
      <c r="H39" s="779">
        <v>44821</v>
      </c>
      <c r="I39" s="779">
        <v>44808</v>
      </c>
      <c r="J39" s="779">
        <v>44624</v>
      </c>
      <c r="K39" s="779">
        <v>44532</v>
      </c>
      <c r="L39" s="779">
        <v>44531</v>
      </c>
      <c r="M39" s="779">
        <v>44531</v>
      </c>
      <c r="N39" s="813">
        <v>44531</v>
      </c>
      <c r="O39" s="813">
        <v>44531</v>
      </c>
      <c r="P39" s="813">
        <v>44442</v>
      </c>
    </row>
    <row r="40" ht="42.75" customHeight="1"/>
    <row r="41" spans="8:13" ht="12.75" customHeight="1">
      <c r="H41" s="1119" t="s">
        <v>13</v>
      </c>
      <c r="I41" s="1119"/>
      <c r="J41" s="1119"/>
      <c r="K41" s="1119"/>
      <c r="L41" s="1119"/>
      <c r="M41" s="1119"/>
    </row>
    <row r="42" spans="8:13" ht="12.75" customHeight="1">
      <c r="H42" s="1119" t="s">
        <v>14</v>
      </c>
      <c r="I42" s="1119"/>
      <c r="J42" s="1119"/>
      <c r="K42" s="1119"/>
      <c r="L42" s="1119"/>
      <c r="M42" s="1119"/>
    </row>
    <row r="43" spans="8:13" ht="12.75" customHeight="1">
      <c r="H43" s="1119" t="s">
        <v>751</v>
      </c>
      <c r="I43" s="1119"/>
      <c r="J43" s="1119"/>
      <c r="K43" s="1119"/>
      <c r="L43" s="1119"/>
      <c r="M43" s="1119"/>
    </row>
    <row r="44" spans="1:11" ht="12.75">
      <c r="A44" s="804" t="s">
        <v>12</v>
      </c>
      <c r="H44" s="1120" t="s">
        <v>84</v>
      </c>
      <c r="I44" s="1120"/>
      <c r="J44" s="1120"/>
      <c r="K44" s="1120"/>
    </row>
  </sheetData>
  <sheetProtection/>
  <mergeCells count="14">
    <mergeCell ref="B9:B10"/>
    <mergeCell ref="C9:C10"/>
    <mergeCell ref="D9:D10"/>
    <mergeCell ref="E9:P9"/>
    <mergeCell ref="H41:M41"/>
    <mergeCell ref="H42:M42"/>
    <mergeCell ref="H43:M43"/>
    <mergeCell ref="H44:K44"/>
    <mergeCell ref="H1:I1"/>
    <mergeCell ref="D2:G2"/>
    <mergeCell ref="A3:M3"/>
    <mergeCell ref="A4:M4"/>
    <mergeCell ref="K8:M8"/>
    <mergeCell ref="A9:A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R47"/>
  <sheetViews>
    <sheetView view="pageBreakPreview" zoomScale="90" zoomScaleSheetLayoutView="90" zoomScalePageLayoutView="0" workbookViewId="0" topLeftCell="A1">
      <selection activeCell="H16" sqref="H16"/>
    </sheetView>
  </sheetViews>
  <sheetFormatPr defaultColWidth="9.140625" defaultRowHeight="12.75"/>
  <cols>
    <col min="1" max="1" width="8.57421875" style="771" customWidth="1"/>
    <col min="2" max="2" width="17.8515625" style="771" customWidth="1"/>
    <col min="3" max="3" width="12.57421875" style="771" customWidth="1"/>
    <col min="4" max="5" width="12.57421875" style="771" hidden="1" customWidth="1"/>
    <col min="6" max="6" width="17.140625" style="771" customWidth="1"/>
    <col min="7" max="9" width="10.00390625" style="771" customWidth="1"/>
    <col min="10" max="10" width="10.421875" style="771" customWidth="1"/>
    <col min="11" max="11" width="10.7109375" style="771" customWidth="1"/>
    <col min="12" max="12" width="11.140625" style="771" customWidth="1"/>
    <col min="13" max="13" width="12.421875" style="771" customWidth="1"/>
    <col min="14" max="14" width="12.28125" style="771" customWidth="1"/>
    <col min="15" max="15" width="14.00390625" style="771" customWidth="1"/>
    <col min="16" max="16384" width="9.140625" style="771" customWidth="1"/>
  </cols>
  <sheetData>
    <row r="1" spans="1:18" ht="18">
      <c r="A1" s="1136" t="s">
        <v>0</v>
      </c>
      <c r="B1" s="1136"/>
      <c r="C1" s="1136"/>
      <c r="D1" s="1136"/>
      <c r="E1" s="1136"/>
      <c r="F1" s="1136"/>
      <c r="G1" s="1136"/>
      <c r="H1" s="1136"/>
      <c r="I1" s="1136"/>
      <c r="J1" s="1136"/>
      <c r="K1" s="1136"/>
      <c r="L1" s="1136"/>
      <c r="M1" s="1136"/>
      <c r="N1" s="1136"/>
      <c r="O1" s="1136"/>
      <c r="P1" s="787" t="s">
        <v>1059</v>
      </c>
      <c r="Q1" s="774"/>
      <c r="R1" s="774"/>
    </row>
    <row r="2" spans="1:18" ht="21">
      <c r="A2" s="1137" t="s">
        <v>859</v>
      </c>
      <c r="B2" s="1137"/>
      <c r="C2" s="1137"/>
      <c r="D2" s="1137"/>
      <c r="E2" s="1137"/>
      <c r="F2" s="1137"/>
      <c r="G2" s="1137"/>
      <c r="H2" s="1137"/>
      <c r="I2" s="1137"/>
      <c r="J2" s="1137"/>
      <c r="K2" s="1137"/>
      <c r="L2" s="1137"/>
      <c r="M2" s="1137"/>
      <c r="N2" s="1137"/>
      <c r="O2" s="1137"/>
      <c r="P2" s="1137"/>
      <c r="Q2" s="774"/>
      <c r="R2" s="774"/>
    </row>
    <row r="3" spans="1:18" s="772" customFormat="1" ht="15.75">
      <c r="A3" s="1129" t="s">
        <v>1023</v>
      </c>
      <c r="B3" s="1129"/>
      <c r="C3" s="1129"/>
      <c r="D3" s="1129"/>
      <c r="E3" s="1129"/>
      <c r="F3" s="1129"/>
      <c r="G3" s="1129"/>
      <c r="H3" s="1129"/>
      <c r="I3" s="1129"/>
      <c r="J3" s="1129"/>
      <c r="K3" s="1129"/>
      <c r="L3" s="1129"/>
      <c r="M3" s="1129"/>
      <c r="N3" s="1129"/>
      <c r="O3" s="1129"/>
      <c r="P3" s="788"/>
      <c r="Q3" s="788"/>
      <c r="R3" s="788"/>
    </row>
    <row r="4" spans="1:18" ht="12.75">
      <c r="A4" s="774"/>
      <c r="B4" s="774"/>
      <c r="C4" s="774"/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774"/>
    </row>
    <row r="5" spans="1:18" ht="12.75">
      <c r="A5" s="773" t="s">
        <v>752</v>
      </c>
      <c r="B5" s="773" t="s">
        <v>1024</v>
      </c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4"/>
      <c r="N5" s="774"/>
      <c r="O5" s="774"/>
      <c r="P5" s="774"/>
      <c r="Q5" s="774"/>
      <c r="R5" s="774"/>
    </row>
    <row r="6" spans="1:18" ht="12.75">
      <c r="A6" s="774"/>
      <c r="B6" s="774"/>
      <c r="C6" s="774"/>
      <c r="D6" s="774"/>
      <c r="E6" s="774"/>
      <c r="F6" s="774"/>
      <c r="G6" s="774"/>
      <c r="H6" s="774"/>
      <c r="I6" s="774"/>
      <c r="J6" s="774"/>
      <c r="K6" s="774"/>
      <c r="L6" s="774"/>
      <c r="M6" s="774"/>
      <c r="N6" s="774"/>
      <c r="O6" s="774"/>
      <c r="P6" s="774"/>
      <c r="Q6" s="774"/>
      <c r="R6" s="774"/>
    </row>
    <row r="7" spans="1:18" ht="12.75">
      <c r="A7" s="1132" t="s">
        <v>1055</v>
      </c>
      <c r="B7" s="1132"/>
      <c r="C7" s="1132"/>
      <c r="D7" s="1132"/>
      <c r="E7" s="1132"/>
      <c r="F7" s="1132"/>
      <c r="G7" s="1132"/>
      <c r="H7" s="1132"/>
      <c r="I7" s="1132" t="s">
        <v>1057</v>
      </c>
      <c r="J7" s="1132"/>
      <c r="K7" s="1132"/>
      <c r="L7" s="774"/>
      <c r="M7" s="774"/>
      <c r="N7" s="774"/>
      <c r="O7" s="774"/>
      <c r="P7" s="774"/>
      <c r="Q7" s="774"/>
      <c r="R7" s="774"/>
    </row>
    <row r="8" spans="1:18" ht="12.75">
      <c r="A8" s="1132" t="s">
        <v>1056</v>
      </c>
      <c r="B8" s="1132"/>
      <c r="C8" s="1132"/>
      <c r="D8" s="1132"/>
      <c r="E8" s="1132"/>
      <c r="F8" s="1132"/>
      <c r="G8" s="1132"/>
      <c r="H8" s="1132"/>
      <c r="I8" s="1132" t="s">
        <v>1058</v>
      </c>
      <c r="J8" s="1132"/>
      <c r="K8" s="1132"/>
      <c r="L8" s="774"/>
      <c r="M8" s="774"/>
      <c r="N8" s="774"/>
      <c r="O8" s="774"/>
      <c r="P8" s="774"/>
      <c r="Q8" s="774"/>
      <c r="R8" s="774"/>
    </row>
    <row r="9" spans="13:18" s="774" customFormat="1" ht="12.75">
      <c r="M9" s="1131" t="s">
        <v>906</v>
      </c>
      <c r="N9" s="1131"/>
      <c r="O9" s="1131"/>
      <c r="P9" s="1131"/>
      <c r="Q9" s="1131"/>
      <c r="R9" s="1131"/>
    </row>
    <row r="10" spans="1:18" s="774" customFormat="1" ht="24.75" customHeight="1">
      <c r="A10" s="1081" t="s">
        <v>2</v>
      </c>
      <c r="B10" s="1081" t="s">
        <v>3</v>
      </c>
      <c r="C10" s="1130" t="s">
        <v>1011</v>
      </c>
      <c r="D10" s="781"/>
      <c r="E10" s="781"/>
      <c r="F10" s="1130" t="s">
        <v>1025</v>
      </c>
      <c r="G10" s="1133" t="s">
        <v>1060</v>
      </c>
      <c r="H10" s="1134"/>
      <c r="I10" s="1134"/>
      <c r="J10" s="1134"/>
      <c r="K10" s="1134"/>
      <c r="L10" s="1134"/>
      <c r="M10" s="1134"/>
      <c r="N10" s="1134"/>
      <c r="O10" s="1134"/>
      <c r="P10" s="1134"/>
      <c r="Q10" s="1134"/>
      <c r="R10" s="1135"/>
    </row>
    <row r="11" spans="1:18" s="774" customFormat="1" ht="31.5" customHeight="1">
      <c r="A11" s="1081"/>
      <c r="B11" s="1081"/>
      <c r="C11" s="1130"/>
      <c r="D11" s="781"/>
      <c r="E11" s="781"/>
      <c r="F11" s="1130"/>
      <c r="G11" s="794" t="s">
        <v>1051</v>
      </c>
      <c r="H11" s="794" t="s">
        <v>1015</v>
      </c>
      <c r="I11" s="794" t="s">
        <v>1016</v>
      </c>
      <c r="J11" s="775" t="s">
        <v>1017</v>
      </c>
      <c r="K11" s="775" t="s">
        <v>1018</v>
      </c>
      <c r="L11" s="775" t="s">
        <v>1019</v>
      </c>
      <c r="M11" s="775" t="s">
        <v>1020</v>
      </c>
      <c r="N11" s="775" t="s">
        <v>1021</v>
      </c>
      <c r="O11" s="815">
        <v>43435</v>
      </c>
      <c r="P11" s="776">
        <v>43466</v>
      </c>
      <c r="Q11" s="778" t="s">
        <v>1026</v>
      </c>
      <c r="R11" s="778" t="s">
        <v>1027</v>
      </c>
    </row>
    <row r="12" spans="1:18" s="774" customFormat="1" ht="21.75" customHeight="1">
      <c r="A12" s="782">
        <v>1</v>
      </c>
      <c r="B12" s="782">
        <v>2</v>
      </c>
      <c r="C12" s="782">
        <v>3</v>
      </c>
      <c r="D12" s="782"/>
      <c r="E12" s="782"/>
      <c r="F12" s="782">
        <v>4</v>
      </c>
      <c r="G12" s="782">
        <v>5</v>
      </c>
      <c r="H12" s="782">
        <v>6</v>
      </c>
      <c r="I12" s="782">
        <v>7</v>
      </c>
      <c r="J12" s="783">
        <v>8</v>
      </c>
      <c r="K12" s="782">
        <v>9</v>
      </c>
      <c r="L12" s="782">
        <v>10</v>
      </c>
      <c r="M12" s="782">
        <v>11</v>
      </c>
      <c r="N12" s="782">
        <v>12</v>
      </c>
      <c r="O12" s="782">
        <v>13</v>
      </c>
      <c r="P12" s="782">
        <v>14</v>
      </c>
      <c r="Q12" s="782">
        <v>15</v>
      </c>
      <c r="R12" s="783">
        <v>16</v>
      </c>
    </row>
    <row r="13" spans="1:18" ht="15.75">
      <c r="A13" s="786">
        <v>1</v>
      </c>
      <c r="B13" s="785" t="s">
        <v>841</v>
      </c>
      <c r="C13" s="836">
        <v>1976</v>
      </c>
      <c r="D13" s="9">
        <v>37</v>
      </c>
      <c r="E13" s="9" t="s">
        <v>898</v>
      </c>
      <c r="F13" s="837">
        <v>1002</v>
      </c>
      <c r="G13" s="837">
        <v>632.61</v>
      </c>
      <c r="H13" s="837">
        <v>0</v>
      </c>
      <c r="I13" s="837">
        <v>383.13</v>
      </c>
      <c r="J13" s="838">
        <v>891</v>
      </c>
      <c r="K13" s="838">
        <v>903</v>
      </c>
      <c r="L13" s="838">
        <v>915</v>
      </c>
      <c r="M13" s="838">
        <v>879</v>
      </c>
      <c r="N13" s="838">
        <v>834</v>
      </c>
      <c r="O13" s="838">
        <v>822</v>
      </c>
      <c r="P13" s="838">
        <v>798</v>
      </c>
      <c r="Q13" s="838">
        <v>1504</v>
      </c>
      <c r="R13" s="838">
        <v>1472</v>
      </c>
    </row>
    <row r="14" spans="1:18" ht="15.75">
      <c r="A14" s="784">
        <v>2</v>
      </c>
      <c r="B14" s="785" t="s">
        <v>833</v>
      </c>
      <c r="C14" s="835">
        <v>1965</v>
      </c>
      <c r="D14" s="9">
        <v>38</v>
      </c>
      <c r="E14" s="9" t="s">
        <v>899</v>
      </c>
      <c r="F14" s="837">
        <v>915.1111111111111</v>
      </c>
      <c r="G14" s="837">
        <v>714.9699999999999</v>
      </c>
      <c r="H14" s="837">
        <v>0</v>
      </c>
      <c r="I14" s="837">
        <v>433.01</v>
      </c>
      <c r="J14" s="838">
        <v>1007</v>
      </c>
      <c r="K14" s="838">
        <v>1022</v>
      </c>
      <c r="L14" s="838">
        <v>1037</v>
      </c>
      <c r="M14" s="838">
        <v>992</v>
      </c>
      <c r="N14" s="838">
        <v>948</v>
      </c>
      <c r="O14" s="838">
        <v>933</v>
      </c>
      <c r="P14" s="838">
        <v>903</v>
      </c>
      <c r="Q14" s="838">
        <v>697</v>
      </c>
      <c r="R14" s="838">
        <v>697</v>
      </c>
    </row>
    <row r="15" spans="1:18" ht="15.75">
      <c r="A15" s="784">
        <v>3</v>
      </c>
      <c r="B15" s="785" t="s">
        <v>839</v>
      </c>
      <c r="C15" s="836">
        <v>1935</v>
      </c>
      <c r="D15" s="9">
        <v>39</v>
      </c>
      <c r="E15" s="9" t="s">
        <v>839</v>
      </c>
      <c r="F15" s="837">
        <v>799.4444444444445</v>
      </c>
      <c r="G15" s="837">
        <v>526.8199999999999</v>
      </c>
      <c r="H15" s="837">
        <v>0</v>
      </c>
      <c r="I15" s="837">
        <v>319.06</v>
      </c>
      <c r="J15" s="838">
        <v>742</v>
      </c>
      <c r="K15" s="838">
        <v>755</v>
      </c>
      <c r="L15" s="838">
        <v>768</v>
      </c>
      <c r="M15" s="838">
        <v>729</v>
      </c>
      <c r="N15" s="838">
        <v>690</v>
      </c>
      <c r="O15" s="838">
        <v>677</v>
      </c>
      <c r="P15" s="838">
        <v>651</v>
      </c>
      <c r="Q15" s="838">
        <v>1110</v>
      </c>
      <c r="R15" s="838">
        <v>1073</v>
      </c>
    </row>
    <row r="16" spans="1:18" s="780" customFormat="1" ht="15.75">
      <c r="A16" s="784">
        <v>4</v>
      </c>
      <c r="B16" s="785" t="s">
        <v>743</v>
      </c>
      <c r="C16" s="835">
        <v>2503</v>
      </c>
      <c r="D16" s="9">
        <v>40</v>
      </c>
      <c r="E16" s="9" t="s">
        <v>743</v>
      </c>
      <c r="F16" s="837">
        <v>773.4444444444445</v>
      </c>
      <c r="G16" s="837">
        <v>622.67</v>
      </c>
      <c r="H16" s="837">
        <v>236.6146</v>
      </c>
      <c r="I16" s="837">
        <v>377.11</v>
      </c>
      <c r="J16" s="838">
        <v>877</v>
      </c>
      <c r="K16" s="838">
        <v>892</v>
      </c>
      <c r="L16" s="838">
        <v>907</v>
      </c>
      <c r="M16" s="838">
        <v>862</v>
      </c>
      <c r="N16" s="838">
        <v>825</v>
      </c>
      <c r="O16" s="838">
        <v>810</v>
      </c>
      <c r="P16" s="838">
        <v>780</v>
      </c>
      <c r="Q16" s="838">
        <v>530</v>
      </c>
      <c r="R16" s="838">
        <v>478</v>
      </c>
    </row>
    <row r="17" spans="1:18" ht="15.75">
      <c r="A17" s="784">
        <v>5</v>
      </c>
      <c r="B17" s="785" t="s">
        <v>748</v>
      </c>
      <c r="C17" s="835">
        <v>2904</v>
      </c>
      <c r="D17" s="9">
        <v>41</v>
      </c>
      <c r="E17" s="9" t="s">
        <v>748</v>
      </c>
      <c r="F17" s="837">
        <v>981.3333333333334</v>
      </c>
      <c r="G17" s="837">
        <v>664.56</v>
      </c>
      <c r="H17" s="837">
        <v>252.53279999999998</v>
      </c>
      <c r="I17" s="837">
        <v>402.48</v>
      </c>
      <c r="J17" s="838">
        <v>936</v>
      </c>
      <c r="K17" s="838">
        <v>951</v>
      </c>
      <c r="L17" s="838">
        <v>966</v>
      </c>
      <c r="M17" s="838">
        <v>921</v>
      </c>
      <c r="N17" s="838">
        <v>884</v>
      </c>
      <c r="O17" s="838">
        <v>869</v>
      </c>
      <c r="P17" s="838">
        <v>839</v>
      </c>
      <c r="Q17" s="838">
        <v>1291</v>
      </c>
      <c r="R17" s="838">
        <v>1175</v>
      </c>
    </row>
    <row r="18" spans="1:18" ht="15.75">
      <c r="A18" s="784">
        <v>6</v>
      </c>
      <c r="B18" s="785" t="s">
        <v>747</v>
      </c>
      <c r="C18" s="835">
        <v>2657</v>
      </c>
      <c r="D18" s="9">
        <v>42</v>
      </c>
      <c r="E18" s="9" t="s">
        <v>747</v>
      </c>
      <c r="F18" s="837">
        <v>1342.4444444444443</v>
      </c>
      <c r="G18" s="837">
        <v>1038.73</v>
      </c>
      <c r="H18" s="837">
        <v>394.7174</v>
      </c>
      <c r="I18" s="837">
        <v>629.09</v>
      </c>
      <c r="J18" s="838">
        <v>1463</v>
      </c>
      <c r="K18" s="838">
        <v>1475</v>
      </c>
      <c r="L18" s="838">
        <v>1487</v>
      </c>
      <c r="M18" s="838">
        <v>1451</v>
      </c>
      <c r="N18" s="838">
        <v>1409</v>
      </c>
      <c r="O18" s="838">
        <v>1397</v>
      </c>
      <c r="P18" s="838">
        <v>1373</v>
      </c>
      <c r="Q18" s="838">
        <v>1025</v>
      </c>
      <c r="R18" s="838">
        <v>1002</v>
      </c>
    </row>
    <row r="19" spans="1:18" ht="15.75">
      <c r="A19" s="784">
        <v>7</v>
      </c>
      <c r="B19" s="785" t="s">
        <v>737</v>
      </c>
      <c r="C19" s="835">
        <v>969</v>
      </c>
      <c r="D19" s="9">
        <v>43</v>
      </c>
      <c r="E19" s="9" t="s">
        <v>737</v>
      </c>
      <c r="F19" s="837">
        <v>347</v>
      </c>
      <c r="G19" s="837">
        <v>211.57999999999998</v>
      </c>
      <c r="H19" s="837">
        <v>80.40039999999999</v>
      </c>
      <c r="I19" s="837">
        <v>128.14</v>
      </c>
      <c r="J19" s="838">
        <v>298</v>
      </c>
      <c r="K19" s="838">
        <v>315</v>
      </c>
      <c r="L19" s="838">
        <v>332</v>
      </c>
      <c r="M19" s="838">
        <v>281</v>
      </c>
      <c r="N19" s="838">
        <v>247</v>
      </c>
      <c r="O19" s="838">
        <v>230</v>
      </c>
      <c r="P19" s="838">
        <v>196</v>
      </c>
      <c r="Q19" s="838">
        <v>617</v>
      </c>
      <c r="R19" s="838">
        <v>607</v>
      </c>
    </row>
    <row r="20" spans="1:18" ht="15.75">
      <c r="A20" s="784">
        <v>8</v>
      </c>
      <c r="B20" s="785" t="s">
        <v>749</v>
      </c>
      <c r="C20" s="835">
        <v>1280</v>
      </c>
      <c r="D20" s="9">
        <v>44</v>
      </c>
      <c r="E20" s="9" t="s">
        <v>749</v>
      </c>
      <c r="F20" s="837">
        <v>455.3333333333333</v>
      </c>
      <c r="G20" s="837">
        <v>337.96</v>
      </c>
      <c r="H20" s="837">
        <v>128.4248</v>
      </c>
      <c r="I20" s="837">
        <v>204.68</v>
      </c>
      <c r="J20" s="838">
        <v>476</v>
      </c>
      <c r="K20" s="838">
        <v>491</v>
      </c>
      <c r="L20" s="838">
        <v>506</v>
      </c>
      <c r="M20" s="838">
        <v>461</v>
      </c>
      <c r="N20" s="838">
        <v>425</v>
      </c>
      <c r="O20" s="838">
        <v>410</v>
      </c>
      <c r="P20" s="838">
        <v>380</v>
      </c>
      <c r="Q20" s="838">
        <v>484</v>
      </c>
      <c r="R20" s="838">
        <v>465</v>
      </c>
    </row>
    <row r="21" spans="1:18" ht="15.75">
      <c r="A21" s="784">
        <v>9</v>
      </c>
      <c r="B21" s="785" t="s">
        <v>834</v>
      </c>
      <c r="C21" s="835">
        <v>2192</v>
      </c>
      <c r="D21" s="9">
        <v>45</v>
      </c>
      <c r="E21" s="9" t="s">
        <v>834</v>
      </c>
      <c r="F21" s="837">
        <v>278.8888888888889</v>
      </c>
      <c r="G21" s="837">
        <v>124.25</v>
      </c>
      <c r="H21" s="837">
        <v>47.215</v>
      </c>
      <c r="I21" s="837">
        <v>75.25</v>
      </c>
      <c r="J21" s="838">
        <v>175</v>
      </c>
      <c r="K21" s="838">
        <v>188</v>
      </c>
      <c r="L21" s="838">
        <v>201</v>
      </c>
      <c r="M21" s="838">
        <v>162</v>
      </c>
      <c r="N21" s="838">
        <v>121</v>
      </c>
      <c r="O21" s="838">
        <v>108</v>
      </c>
      <c r="P21" s="838">
        <v>82</v>
      </c>
      <c r="Q21" s="838">
        <v>763</v>
      </c>
      <c r="R21" s="838">
        <v>710</v>
      </c>
    </row>
    <row r="22" spans="1:18" ht="15.75">
      <c r="A22" s="784">
        <v>10</v>
      </c>
      <c r="B22" s="785" t="s">
        <v>739</v>
      </c>
      <c r="C22" s="835">
        <v>567</v>
      </c>
      <c r="D22" s="9">
        <v>46</v>
      </c>
      <c r="E22" s="9" t="s">
        <v>739</v>
      </c>
      <c r="F22" s="837">
        <v>55.22222222222222</v>
      </c>
      <c r="G22" s="837">
        <v>53.959999999999994</v>
      </c>
      <c r="H22" s="837">
        <v>0</v>
      </c>
      <c r="I22" s="837">
        <v>32.68</v>
      </c>
      <c r="J22" s="838">
        <v>76</v>
      </c>
      <c r="K22" s="838">
        <v>88</v>
      </c>
      <c r="L22" s="838">
        <v>100</v>
      </c>
      <c r="M22" s="838">
        <v>64</v>
      </c>
      <c r="N22" s="838">
        <v>18</v>
      </c>
      <c r="O22" s="838">
        <v>6</v>
      </c>
      <c r="P22" s="838">
        <v>2</v>
      </c>
      <c r="Q22" s="838">
        <v>50</v>
      </c>
      <c r="R22" s="838">
        <v>93</v>
      </c>
    </row>
    <row r="23" spans="1:18" s="780" customFormat="1" ht="15.75">
      <c r="A23" s="784">
        <v>11</v>
      </c>
      <c r="B23" s="785" t="s">
        <v>840</v>
      </c>
      <c r="C23" s="836">
        <v>983</v>
      </c>
      <c r="D23" s="9">
        <v>47</v>
      </c>
      <c r="E23" s="9" t="s">
        <v>900</v>
      </c>
      <c r="F23" s="837">
        <v>129.22222222222223</v>
      </c>
      <c r="G23" s="837">
        <v>110.75999999999999</v>
      </c>
      <c r="H23" s="837">
        <v>0</v>
      </c>
      <c r="I23" s="837">
        <v>67.08</v>
      </c>
      <c r="J23" s="838">
        <v>156</v>
      </c>
      <c r="K23" s="838">
        <v>173</v>
      </c>
      <c r="L23" s="838">
        <v>190</v>
      </c>
      <c r="M23" s="838">
        <v>139</v>
      </c>
      <c r="N23" s="838">
        <v>106</v>
      </c>
      <c r="O23" s="838">
        <v>89</v>
      </c>
      <c r="P23" s="838">
        <v>55</v>
      </c>
      <c r="Q23" s="838">
        <v>132</v>
      </c>
      <c r="R23" s="838">
        <v>123</v>
      </c>
    </row>
    <row r="24" spans="1:18" ht="15.75">
      <c r="A24" s="784">
        <v>12</v>
      </c>
      <c r="B24" s="785" t="s">
        <v>837</v>
      </c>
      <c r="C24" s="835">
        <v>1835</v>
      </c>
      <c r="D24" s="9">
        <v>48</v>
      </c>
      <c r="E24" s="9" t="s">
        <v>731</v>
      </c>
      <c r="F24" s="837">
        <v>174.55555555555554</v>
      </c>
      <c r="G24" s="837">
        <v>121.41</v>
      </c>
      <c r="H24" s="837">
        <v>0</v>
      </c>
      <c r="I24" s="837">
        <v>73.53</v>
      </c>
      <c r="J24" s="838">
        <v>171</v>
      </c>
      <c r="K24" s="838">
        <v>186</v>
      </c>
      <c r="L24" s="838">
        <v>201</v>
      </c>
      <c r="M24" s="838">
        <v>156</v>
      </c>
      <c r="N24" s="838">
        <v>121</v>
      </c>
      <c r="O24" s="838">
        <v>106</v>
      </c>
      <c r="P24" s="838">
        <v>76</v>
      </c>
      <c r="Q24" s="838">
        <v>7</v>
      </c>
      <c r="R24" s="838">
        <v>547</v>
      </c>
    </row>
    <row r="25" spans="1:18" ht="15.75">
      <c r="A25" s="784">
        <v>13</v>
      </c>
      <c r="B25" s="785" t="s">
        <v>831</v>
      </c>
      <c r="C25" s="835">
        <v>1239</v>
      </c>
      <c r="D25" s="9">
        <v>49</v>
      </c>
      <c r="E25" s="9" t="s">
        <v>742</v>
      </c>
      <c r="F25" s="837">
        <v>788.666666666667</v>
      </c>
      <c r="G25" s="837">
        <v>629.06</v>
      </c>
      <c r="H25" s="837">
        <v>101</v>
      </c>
      <c r="I25" s="837">
        <v>380.98</v>
      </c>
      <c r="J25" s="838">
        <v>886</v>
      </c>
      <c r="K25" s="838">
        <v>898</v>
      </c>
      <c r="L25" s="838">
        <v>910</v>
      </c>
      <c r="M25" s="838">
        <v>874</v>
      </c>
      <c r="N25" s="838">
        <v>834</v>
      </c>
      <c r="O25" s="838">
        <v>822</v>
      </c>
      <c r="P25" s="838">
        <v>798</v>
      </c>
      <c r="Q25" s="838">
        <v>559</v>
      </c>
      <c r="R25" s="838">
        <v>517</v>
      </c>
    </row>
    <row r="26" spans="1:18" ht="15.75">
      <c r="A26" s="784">
        <v>14</v>
      </c>
      <c r="B26" s="785" t="s">
        <v>740</v>
      </c>
      <c r="C26" s="835">
        <v>1133</v>
      </c>
      <c r="D26" s="9">
        <v>50</v>
      </c>
      <c r="E26" s="9" t="s">
        <v>740</v>
      </c>
      <c r="F26" s="837">
        <v>443.44444444444446</v>
      </c>
      <c r="G26" s="837">
        <v>350.74</v>
      </c>
      <c r="H26" s="837">
        <v>133.2812</v>
      </c>
      <c r="I26" s="837">
        <v>212.42</v>
      </c>
      <c r="J26" s="838">
        <v>494</v>
      </c>
      <c r="K26" s="838">
        <v>509</v>
      </c>
      <c r="L26" s="838">
        <v>524</v>
      </c>
      <c r="M26" s="838">
        <v>479</v>
      </c>
      <c r="N26" s="838">
        <v>443</v>
      </c>
      <c r="O26" s="838">
        <v>428</v>
      </c>
      <c r="P26" s="838">
        <v>398</v>
      </c>
      <c r="Q26" s="838">
        <v>361</v>
      </c>
      <c r="R26" s="838">
        <v>355</v>
      </c>
    </row>
    <row r="27" spans="1:18" ht="15.75">
      <c r="A27" s="784">
        <v>15</v>
      </c>
      <c r="B27" s="785" t="s">
        <v>835</v>
      </c>
      <c r="C27" s="835">
        <v>1432</v>
      </c>
      <c r="D27" s="9">
        <v>51</v>
      </c>
      <c r="E27" s="9" t="s">
        <v>734</v>
      </c>
      <c r="F27" s="837">
        <v>706.7777777777778</v>
      </c>
      <c r="G27" s="837">
        <v>495.58</v>
      </c>
      <c r="H27" s="837">
        <v>188.3204</v>
      </c>
      <c r="I27" s="837">
        <v>300.14</v>
      </c>
      <c r="J27" s="838">
        <v>698</v>
      </c>
      <c r="K27" s="838">
        <v>711</v>
      </c>
      <c r="L27" s="838">
        <v>724</v>
      </c>
      <c r="M27" s="838">
        <v>685</v>
      </c>
      <c r="N27" s="838">
        <v>646</v>
      </c>
      <c r="O27" s="838">
        <v>633</v>
      </c>
      <c r="P27" s="838">
        <v>607</v>
      </c>
      <c r="Q27" s="838">
        <v>843</v>
      </c>
      <c r="R27" s="838">
        <v>814</v>
      </c>
    </row>
    <row r="28" spans="1:18" s="780" customFormat="1" ht="15.75">
      <c r="A28" s="784">
        <v>16</v>
      </c>
      <c r="B28" s="785" t="s">
        <v>832</v>
      </c>
      <c r="C28" s="835">
        <v>1830</v>
      </c>
      <c r="D28" s="9">
        <v>52</v>
      </c>
      <c r="E28" s="9" t="s">
        <v>741</v>
      </c>
      <c r="F28" s="837">
        <v>839.8888888888889</v>
      </c>
      <c r="G28" s="837">
        <v>607.76</v>
      </c>
      <c r="H28" s="837">
        <v>230.9488</v>
      </c>
      <c r="I28" s="837">
        <v>368.08</v>
      </c>
      <c r="J28" s="838">
        <v>856</v>
      </c>
      <c r="K28" s="838">
        <v>873</v>
      </c>
      <c r="L28" s="838">
        <v>890</v>
      </c>
      <c r="M28" s="838">
        <v>839</v>
      </c>
      <c r="N28" s="838">
        <v>804</v>
      </c>
      <c r="O28" s="838">
        <v>787</v>
      </c>
      <c r="P28" s="838">
        <v>753</v>
      </c>
      <c r="Q28" s="838">
        <v>887</v>
      </c>
      <c r="R28" s="838">
        <v>870</v>
      </c>
    </row>
    <row r="29" spans="1:18" ht="15.75">
      <c r="A29" s="784">
        <v>17</v>
      </c>
      <c r="B29" s="785" t="s">
        <v>733</v>
      </c>
      <c r="C29" s="835">
        <v>1383</v>
      </c>
      <c r="D29" s="9">
        <v>53</v>
      </c>
      <c r="E29" s="9" t="s">
        <v>733</v>
      </c>
      <c r="F29" s="837">
        <v>586.1111111111111</v>
      </c>
      <c r="G29" s="837">
        <v>437.35999999999996</v>
      </c>
      <c r="H29" s="837">
        <v>166.1968</v>
      </c>
      <c r="I29" s="837">
        <v>264.88</v>
      </c>
      <c r="J29" s="838">
        <v>616</v>
      </c>
      <c r="K29" s="838">
        <v>633</v>
      </c>
      <c r="L29" s="838">
        <v>650</v>
      </c>
      <c r="M29" s="838">
        <v>599</v>
      </c>
      <c r="N29" s="838">
        <v>565</v>
      </c>
      <c r="O29" s="838">
        <v>548</v>
      </c>
      <c r="P29" s="838">
        <v>514</v>
      </c>
      <c r="Q29" s="838">
        <v>605</v>
      </c>
      <c r="R29" s="838">
        <v>545</v>
      </c>
    </row>
    <row r="30" spans="1:18" ht="15.75">
      <c r="A30" s="784">
        <v>18</v>
      </c>
      <c r="B30" s="785" t="s">
        <v>735</v>
      </c>
      <c r="C30" s="835">
        <v>2342</v>
      </c>
      <c r="D30" s="9">
        <v>54</v>
      </c>
      <c r="E30" s="9" t="s">
        <v>735</v>
      </c>
      <c r="F30" s="837">
        <v>1494.3333333333333</v>
      </c>
      <c r="G30" s="837">
        <v>1203.45</v>
      </c>
      <c r="H30" s="837">
        <v>457.31100000000004</v>
      </c>
      <c r="I30" s="837">
        <v>728.85</v>
      </c>
      <c r="J30" s="838">
        <v>1695</v>
      </c>
      <c r="K30" s="838">
        <v>1710</v>
      </c>
      <c r="L30" s="838">
        <v>1725</v>
      </c>
      <c r="M30" s="838">
        <v>1680</v>
      </c>
      <c r="N30" s="838">
        <v>1633</v>
      </c>
      <c r="O30" s="838">
        <v>1618</v>
      </c>
      <c r="P30" s="838">
        <v>1588</v>
      </c>
      <c r="Q30" s="838">
        <v>921</v>
      </c>
      <c r="R30" s="838">
        <v>879</v>
      </c>
    </row>
    <row r="31" spans="1:18" ht="15.75">
      <c r="A31" s="784">
        <v>19</v>
      </c>
      <c r="B31" s="785" t="s">
        <v>732</v>
      </c>
      <c r="C31" s="835">
        <v>2020</v>
      </c>
      <c r="D31" s="9">
        <v>55</v>
      </c>
      <c r="E31" s="9" t="s">
        <v>732</v>
      </c>
      <c r="F31" s="837">
        <v>276.6666666666667</v>
      </c>
      <c r="G31" s="837">
        <v>195.25</v>
      </c>
      <c r="H31" s="837">
        <v>21</v>
      </c>
      <c r="I31" s="837">
        <v>118.25</v>
      </c>
      <c r="J31" s="838">
        <v>275</v>
      </c>
      <c r="K31" s="838">
        <v>290</v>
      </c>
      <c r="L31" s="838">
        <v>305</v>
      </c>
      <c r="M31" s="838">
        <v>260</v>
      </c>
      <c r="N31" s="838">
        <v>224</v>
      </c>
      <c r="O31" s="838">
        <v>209</v>
      </c>
      <c r="P31" s="838">
        <v>179</v>
      </c>
      <c r="Q31" s="838">
        <v>390</v>
      </c>
      <c r="R31" s="838">
        <v>358</v>
      </c>
    </row>
    <row r="32" spans="1:18" ht="15.75">
      <c r="A32" s="784">
        <v>20</v>
      </c>
      <c r="B32" s="785" t="s">
        <v>836</v>
      </c>
      <c r="C32" s="835">
        <v>2266</v>
      </c>
      <c r="D32" s="9">
        <v>56</v>
      </c>
      <c r="E32" s="9" t="s">
        <v>836</v>
      </c>
      <c r="F32" s="837">
        <v>564.8888888888889</v>
      </c>
      <c r="G32" s="837">
        <v>399.72999999999996</v>
      </c>
      <c r="H32" s="837">
        <v>151.89739999999998</v>
      </c>
      <c r="I32" s="837">
        <v>242.09</v>
      </c>
      <c r="J32" s="838">
        <v>563</v>
      </c>
      <c r="K32" s="838">
        <v>575</v>
      </c>
      <c r="L32" s="838">
        <v>587</v>
      </c>
      <c r="M32" s="838">
        <v>551</v>
      </c>
      <c r="N32" s="838">
        <v>512</v>
      </c>
      <c r="O32" s="838">
        <v>500</v>
      </c>
      <c r="P32" s="838">
        <v>476</v>
      </c>
      <c r="Q32" s="838">
        <v>488</v>
      </c>
      <c r="R32" s="838">
        <v>832</v>
      </c>
    </row>
    <row r="33" spans="1:18" s="780" customFormat="1" ht="15.75">
      <c r="A33" s="784">
        <v>21</v>
      </c>
      <c r="B33" s="785" t="s">
        <v>729</v>
      </c>
      <c r="C33" s="835">
        <v>1480</v>
      </c>
      <c r="D33" s="9">
        <v>57</v>
      </c>
      <c r="E33" s="9" t="s">
        <v>729</v>
      </c>
      <c r="F33" s="837">
        <v>424.3333333333333</v>
      </c>
      <c r="G33" s="837">
        <v>312.4</v>
      </c>
      <c r="H33" s="837">
        <v>118.71199999999999</v>
      </c>
      <c r="I33" s="837">
        <v>189.2</v>
      </c>
      <c r="J33" s="838">
        <v>440</v>
      </c>
      <c r="K33" s="838">
        <v>453</v>
      </c>
      <c r="L33" s="838">
        <v>466</v>
      </c>
      <c r="M33" s="838">
        <v>427</v>
      </c>
      <c r="N33" s="838">
        <v>389</v>
      </c>
      <c r="O33" s="838">
        <v>376</v>
      </c>
      <c r="P33" s="838">
        <v>350</v>
      </c>
      <c r="Q33" s="838">
        <v>453</v>
      </c>
      <c r="R33" s="838">
        <v>465</v>
      </c>
    </row>
    <row r="34" spans="1:18" ht="15.75">
      <c r="A34" s="784">
        <v>22</v>
      </c>
      <c r="B34" s="785" t="s">
        <v>746</v>
      </c>
      <c r="C34" s="835">
        <v>1808</v>
      </c>
      <c r="D34" s="9">
        <v>58</v>
      </c>
      <c r="E34" s="9" t="s">
        <v>746</v>
      </c>
      <c r="F34" s="837">
        <v>647.1111111111111</v>
      </c>
      <c r="G34" s="837">
        <v>436.65</v>
      </c>
      <c r="H34" s="837">
        <v>0</v>
      </c>
      <c r="I34" s="837">
        <v>264.45</v>
      </c>
      <c r="J34" s="838">
        <v>615</v>
      </c>
      <c r="K34" s="838">
        <v>628</v>
      </c>
      <c r="L34" s="838">
        <v>641</v>
      </c>
      <c r="M34" s="838">
        <v>602</v>
      </c>
      <c r="N34" s="838">
        <v>564</v>
      </c>
      <c r="O34" s="838">
        <v>551</v>
      </c>
      <c r="P34" s="838">
        <v>525</v>
      </c>
      <c r="Q34" s="838">
        <v>879</v>
      </c>
      <c r="R34" s="838">
        <v>819</v>
      </c>
    </row>
    <row r="35" spans="1:18" ht="15.75">
      <c r="A35" s="784">
        <v>23</v>
      </c>
      <c r="B35" s="785" t="s">
        <v>738</v>
      </c>
      <c r="C35" s="835">
        <v>1336</v>
      </c>
      <c r="D35" s="9">
        <v>59</v>
      </c>
      <c r="E35" s="9" t="s">
        <v>738</v>
      </c>
      <c r="F35" s="837">
        <v>972.1111111111111</v>
      </c>
      <c r="G35" s="837">
        <v>682.31</v>
      </c>
      <c r="H35" s="837">
        <v>259.27779999999996</v>
      </c>
      <c r="I35" s="837">
        <v>413.23</v>
      </c>
      <c r="J35" s="838">
        <v>961</v>
      </c>
      <c r="K35" s="838">
        <v>974</v>
      </c>
      <c r="L35" s="838">
        <v>987</v>
      </c>
      <c r="M35" s="838">
        <v>948</v>
      </c>
      <c r="N35" s="838">
        <v>901</v>
      </c>
      <c r="O35" s="838">
        <v>888</v>
      </c>
      <c r="P35" s="838">
        <v>862</v>
      </c>
      <c r="Q35" s="838">
        <v>1116</v>
      </c>
      <c r="R35" s="838">
        <v>1112</v>
      </c>
    </row>
    <row r="36" spans="1:18" ht="15.75">
      <c r="A36" s="784">
        <v>24</v>
      </c>
      <c r="B36" s="785" t="s">
        <v>730</v>
      </c>
      <c r="C36" s="835">
        <v>2207</v>
      </c>
      <c r="D36" s="9">
        <v>60</v>
      </c>
      <c r="E36" s="9" t="s">
        <v>730</v>
      </c>
      <c r="F36" s="837">
        <v>737.6666666666666</v>
      </c>
      <c r="G36" s="837">
        <v>528.24</v>
      </c>
      <c r="H36" s="837">
        <v>200.7312</v>
      </c>
      <c r="I36" s="837">
        <v>319.92</v>
      </c>
      <c r="J36" s="838">
        <v>744</v>
      </c>
      <c r="K36" s="838">
        <v>756</v>
      </c>
      <c r="L36" s="838">
        <v>768</v>
      </c>
      <c r="M36" s="838">
        <v>732</v>
      </c>
      <c r="N36" s="838">
        <v>692</v>
      </c>
      <c r="O36" s="838">
        <v>680</v>
      </c>
      <c r="P36" s="838">
        <v>656</v>
      </c>
      <c r="Q36" s="838">
        <v>801</v>
      </c>
      <c r="R36" s="838">
        <v>810</v>
      </c>
    </row>
    <row r="37" spans="1:18" s="780" customFormat="1" ht="15.75">
      <c r="A37" s="784">
        <v>25</v>
      </c>
      <c r="B37" s="785" t="s">
        <v>736</v>
      </c>
      <c r="C37" s="835">
        <v>884</v>
      </c>
      <c r="D37" s="9">
        <v>61</v>
      </c>
      <c r="E37" s="9" t="s">
        <v>736</v>
      </c>
      <c r="F37" s="837">
        <v>176.77777777777777</v>
      </c>
      <c r="G37" s="837">
        <v>137.03</v>
      </c>
      <c r="H37" s="837">
        <v>52.071400000000004</v>
      </c>
      <c r="I37" s="837">
        <v>82.99</v>
      </c>
      <c r="J37" s="838">
        <v>193</v>
      </c>
      <c r="K37" s="838">
        <v>208</v>
      </c>
      <c r="L37" s="838">
        <v>223</v>
      </c>
      <c r="M37" s="838">
        <v>178</v>
      </c>
      <c r="N37" s="838">
        <v>143</v>
      </c>
      <c r="O37" s="838">
        <v>128</v>
      </c>
      <c r="P37" s="838">
        <v>98</v>
      </c>
      <c r="Q37" s="838">
        <v>220</v>
      </c>
      <c r="R37" s="838">
        <v>200</v>
      </c>
    </row>
    <row r="38" spans="1:18" s="774" customFormat="1" ht="15.75">
      <c r="A38" s="784">
        <v>26</v>
      </c>
      <c r="B38" s="785" t="s">
        <v>744</v>
      </c>
      <c r="C38" s="835">
        <v>887</v>
      </c>
      <c r="D38" s="9">
        <v>62</v>
      </c>
      <c r="E38" s="9" t="s">
        <v>744</v>
      </c>
      <c r="F38" s="837">
        <v>116.33333333333333</v>
      </c>
      <c r="G38" s="837">
        <v>100.11</v>
      </c>
      <c r="H38" s="837">
        <v>0</v>
      </c>
      <c r="I38" s="837">
        <v>60.63</v>
      </c>
      <c r="J38" s="838">
        <v>141</v>
      </c>
      <c r="K38" s="838">
        <v>156</v>
      </c>
      <c r="L38" s="838">
        <v>171</v>
      </c>
      <c r="M38" s="838">
        <v>126</v>
      </c>
      <c r="N38" s="838">
        <v>89</v>
      </c>
      <c r="O38" s="838">
        <v>74</v>
      </c>
      <c r="P38" s="838">
        <v>44</v>
      </c>
      <c r="Q38" s="838">
        <v>124</v>
      </c>
      <c r="R38" s="838">
        <v>122</v>
      </c>
    </row>
    <row r="39" spans="1:18" ht="15.75">
      <c r="A39" s="786">
        <v>27</v>
      </c>
      <c r="B39" s="785" t="s">
        <v>838</v>
      </c>
      <c r="C39" s="835">
        <v>941</v>
      </c>
      <c r="D39" s="9">
        <v>63</v>
      </c>
      <c r="E39" s="9" t="s">
        <v>745</v>
      </c>
      <c r="F39" s="837">
        <v>272.44444444444446</v>
      </c>
      <c r="G39" s="837">
        <v>222.23</v>
      </c>
      <c r="H39" s="837">
        <v>12</v>
      </c>
      <c r="I39" s="837">
        <v>134.59</v>
      </c>
      <c r="J39" s="838">
        <v>313</v>
      </c>
      <c r="K39" s="838">
        <v>330</v>
      </c>
      <c r="L39" s="838">
        <v>347</v>
      </c>
      <c r="M39" s="838">
        <v>296</v>
      </c>
      <c r="N39" s="838">
        <v>263</v>
      </c>
      <c r="O39" s="838">
        <v>246</v>
      </c>
      <c r="P39" s="838">
        <v>212</v>
      </c>
      <c r="Q39" s="838">
        <v>195</v>
      </c>
      <c r="R39" s="838">
        <v>250</v>
      </c>
    </row>
    <row r="40" spans="1:18" ht="15.75">
      <c r="A40" s="1138" t="s">
        <v>19</v>
      </c>
      <c r="B40" s="1138"/>
      <c r="C40" s="836">
        <v>44954</v>
      </c>
      <c r="D40" s="9"/>
      <c r="E40" s="9"/>
      <c r="F40" s="837">
        <v>16301.555555555557</v>
      </c>
      <c r="G40" s="837">
        <v>11898.18</v>
      </c>
      <c r="H40" s="837">
        <v>3232.6530000000007</v>
      </c>
      <c r="I40" s="837">
        <v>7205.94</v>
      </c>
      <c r="J40" s="838">
        <v>16758</v>
      </c>
      <c r="K40" s="838">
        <v>17143</v>
      </c>
      <c r="L40" s="838">
        <v>17528</v>
      </c>
      <c r="M40" s="838">
        <v>16373</v>
      </c>
      <c r="N40" s="838">
        <v>15330</v>
      </c>
      <c r="O40" s="838">
        <v>14945</v>
      </c>
      <c r="P40" s="838">
        <v>14195</v>
      </c>
      <c r="Q40" s="838">
        <v>17052</v>
      </c>
      <c r="R40" s="838">
        <v>17390</v>
      </c>
    </row>
    <row r="41" s="774" customFormat="1" ht="12.75">
      <c r="A41" s="803"/>
    </row>
    <row r="43" ht="66" customHeight="1"/>
    <row r="44" spans="10:15" ht="12.75" customHeight="1">
      <c r="J44" s="1127" t="s">
        <v>13</v>
      </c>
      <c r="K44" s="1127"/>
      <c r="L44" s="1127"/>
      <c r="M44" s="1127"/>
      <c r="N44" s="1127"/>
      <c r="O44" s="1127"/>
    </row>
    <row r="45" spans="10:15" ht="12.75" customHeight="1">
      <c r="J45" s="1127" t="s">
        <v>14</v>
      </c>
      <c r="K45" s="1127"/>
      <c r="L45" s="1127"/>
      <c r="M45" s="1127"/>
      <c r="N45" s="1127"/>
      <c r="O45" s="1127"/>
    </row>
    <row r="46" spans="10:15" ht="12.75" customHeight="1">
      <c r="J46" s="1127" t="s">
        <v>727</v>
      </c>
      <c r="K46" s="1127"/>
      <c r="L46" s="1127"/>
      <c r="M46" s="1127"/>
      <c r="N46" s="1127"/>
      <c r="O46" s="1127"/>
    </row>
    <row r="47" spans="1:13" ht="12.75">
      <c r="A47" s="771" t="s">
        <v>12</v>
      </c>
      <c r="J47" s="1128" t="s">
        <v>84</v>
      </c>
      <c r="K47" s="1128"/>
      <c r="L47" s="1128"/>
      <c r="M47" s="1128"/>
    </row>
  </sheetData>
  <sheetProtection/>
  <mergeCells count="18">
    <mergeCell ref="J44:O44"/>
    <mergeCell ref="J45:O45"/>
    <mergeCell ref="I7:K7"/>
    <mergeCell ref="I8:K8"/>
    <mergeCell ref="G10:R10"/>
    <mergeCell ref="A1:O1"/>
    <mergeCell ref="A2:P2"/>
    <mergeCell ref="A40:B40"/>
    <mergeCell ref="J46:O46"/>
    <mergeCell ref="J47:M47"/>
    <mergeCell ref="A3:O3"/>
    <mergeCell ref="A10:A11"/>
    <mergeCell ref="B10:B11"/>
    <mergeCell ref="C10:C11"/>
    <mergeCell ref="F10:F11"/>
    <mergeCell ref="M9:R9"/>
    <mergeCell ref="A7:H7"/>
    <mergeCell ref="A8:H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7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P44"/>
  <sheetViews>
    <sheetView view="pageBreakPreview" zoomScale="80" zoomScaleSheetLayoutView="80" zoomScalePageLayoutView="0" workbookViewId="0" topLeftCell="A1">
      <selection activeCell="F23" sqref="F23"/>
    </sheetView>
  </sheetViews>
  <sheetFormatPr defaultColWidth="9.140625" defaultRowHeight="12.75"/>
  <cols>
    <col min="2" max="2" width="16.140625" style="0" customWidth="1"/>
    <col min="4" max="4" width="8.421875" style="0" customWidth="1"/>
    <col min="5" max="5" width="12.8515625" style="0" customWidth="1"/>
    <col min="6" max="6" width="16.00390625" style="0" customWidth="1"/>
    <col min="7" max="7" width="15.28125" style="0" customWidth="1"/>
    <col min="8" max="8" width="17.00390625" style="0" customWidth="1"/>
    <col min="9" max="9" width="18.00390625" style="0" customWidth="1"/>
    <col min="10" max="10" width="11.140625" style="0" customWidth="1"/>
    <col min="11" max="11" width="12.7109375" style="0" customWidth="1"/>
    <col min="12" max="12" width="11.421875" style="0" customWidth="1"/>
    <col min="13" max="13" width="15.421875" style="0" customWidth="1"/>
  </cols>
  <sheetData>
    <row r="1" spans="3:16" ht="18">
      <c r="C1" s="958" t="s">
        <v>0</v>
      </c>
      <c r="D1" s="958"/>
      <c r="E1" s="958"/>
      <c r="F1" s="958"/>
      <c r="G1" s="958"/>
      <c r="H1" s="958"/>
      <c r="I1" s="958"/>
      <c r="J1" s="385"/>
      <c r="K1" s="385"/>
      <c r="L1" s="1117" t="s">
        <v>694</v>
      </c>
      <c r="M1" s="1117"/>
      <c r="N1" s="385"/>
      <c r="O1" s="385"/>
      <c r="P1" s="385"/>
    </row>
    <row r="2" spans="2:16" ht="21">
      <c r="B2" s="959" t="s">
        <v>859</v>
      </c>
      <c r="C2" s="959"/>
      <c r="D2" s="959"/>
      <c r="E2" s="959"/>
      <c r="F2" s="959"/>
      <c r="G2" s="959"/>
      <c r="H2" s="959"/>
      <c r="I2" s="959"/>
      <c r="J2" s="959"/>
      <c r="K2" s="959"/>
      <c r="L2" s="959"/>
      <c r="M2" s="386"/>
      <c r="N2" s="386"/>
      <c r="O2" s="386"/>
      <c r="P2" s="386"/>
    </row>
    <row r="3" spans="3:16" ht="21"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86"/>
      <c r="O3" s="386"/>
      <c r="P3" s="386"/>
    </row>
    <row r="4" spans="1:13" ht="20.25" customHeight="1">
      <c r="A4" s="1146" t="s">
        <v>695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</row>
    <row r="5" spans="1:15" ht="20.25" customHeight="1">
      <c r="A5" s="1147" t="s">
        <v>636</v>
      </c>
      <c r="B5" s="1147"/>
      <c r="C5" s="1147"/>
      <c r="D5" s="1147"/>
      <c r="E5" s="1147"/>
      <c r="F5" s="1147"/>
      <c r="G5" s="1147"/>
      <c r="H5" s="961" t="s">
        <v>981</v>
      </c>
      <c r="I5" s="961"/>
      <c r="J5" s="961"/>
      <c r="K5" s="961"/>
      <c r="L5" s="961"/>
      <c r="M5" s="961"/>
      <c r="N5" s="110"/>
      <c r="O5" s="12"/>
    </row>
    <row r="6" spans="1:15" ht="15" customHeight="1">
      <c r="A6" s="1029" t="s">
        <v>74</v>
      </c>
      <c r="B6" s="1029" t="s">
        <v>302</v>
      </c>
      <c r="C6" s="1139" t="s">
        <v>422</v>
      </c>
      <c r="D6" s="1140"/>
      <c r="E6" s="1140"/>
      <c r="F6" s="1140"/>
      <c r="G6" s="1141"/>
      <c r="H6" s="1028" t="s">
        <v>419</v>
      </c>
      <c r="I6" s="1028"/>
      <c r="J6" s="1028"/>
      <c r="K6" s="1028"/>
      <c r="L6" s="1028"/>
      <c r="M6" s="1139" t="s">
        <v>303</v>
      </c>
      <c r="N6" s="12"/>
      <c r="O6" s="12"/>
    </row>
    <row r="7" spans="1:13" ht="12.75" customHeight="1">
      <c r="A7" s="1030"/>
      <c r="B7" s="1030"/>
      <c r="C7" s="1142"/>
      <c r="D7" s="1143"/>
      <c r="E7" s="1143"/>
      <c r="F7" s="1143"/>
      <c r="G7" s="1144"/>
      <c r="H7" s="1028"/>
      <c r="I7" s="1028"/>
      <c r="J7" s="1028"/>
      <c r="K7" s="1028"/>
      <c r="L7" s="1028"/>
      <c r="M7" s="1030"/>
    </row>
    <row r="8" spans="1:13" ht="5.25" customHeight="1">
      <c r="A8" s="1030"/>
      <c r="B8" s="1030"/>
      <c r="C8" s="1142"/>
      <c r="D8" s="1143"/>
      <c r="E8" s="1143"/>
      <c r="F8" s="1143"/>
      <c r="G8" s="1144"/>
      <c r="H8" s="1028"/>
      <c r="I8" s="1028"/>
      <c r="J8" s="1028"/>
      <c r="K8" s="1028"/>
      <c r="L8" s="1028"/>
      <c r="M8" s="1030"/>
    </row>
    <row r="9" spans="1:13" ht="68.25" customHeight="1">
      <c r="A9" s="1031"/>
      <c r="B9" s="1031"/>
      <c r="C9" s="412" t="s">
        <v>304</v>
      </c>
      <c r="D9" s="412" t="s">
        <v>305</v>
      </c>
      <c r="E9" s="412" t="s">
        <v>306</v>
      </c>
      <c r="F9" s="412" t="s">
        <v>307</v>
      </c>
      <c r="G9" s="413" t="s">
        <v>308</v>
      </c>
      <c r="H9" s="414" t="s">
        <v>418</v>
      </c>
      <c r="I9" s="414" t="s">
        <v>423</v>
      </c>
      <c r="J9" s="414" t="s">
        <v>420</v>
      </c>
      <c r="K9" s="414" t="s">
        <v>421</v>
      </c>
      <c r="L9" s="414" t="s">
        <v>47</v>
      </c>
      <c r="M9" s="1031"/>
    </row>
    <row r="10" spans="1:13" ht="15">
      <c r="A10" s="388">
        <v>1</v>
      </c>
      <c r="B10" s="388">
        <v>2</v>
      </c>
      <c r="C10" s="388">
        <v>3</v>
      </c>
      <c r="D10" s="388">
        <v>4</v>
      </c>
      <c r="E10" s="388">
        <v>5</v>
      </c>
      <c r="F10" s="388">
        <v>6</v>
      </c>
      <c r="G10" s="388">
        <v>7</v>
      </c>
      <c r="H10" s="388">
        <v>8</v>
      </c>
      <c r="I10" s="388">
        <v>9</v>
      </c>
      <c r="J10" s="388">
        <v>10</v>
      </c>
      <c r="K10" s="388">
        <v>11</v>
      </c>
      <c r="L10" s="388">
        <v>12</v>
      </c>
      <c r="M10" s="388">
        <v>13</v>
      </c>
    </row>
    <row r="11" spans="1:13" ht="15">
      <c r="A11" s="786">
        <v>1</v>
      </c>
      <c r="B11" s="816" t="s">
        <v>841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</row>
    <row r="12" spans="1:13" ht="15">
      <c r="A12" s="784">
        <v>2</v>
      </c>
      <c r="B12" s="816" t="s">
        <v>833</v>
      </c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</row>
    <row r="13" spans="1:13" ht="15">
      <c r="A13" s="784">
        <v>3</v>
      </c>
      <c r="B13" s="816" t="s">
        <v>839</v>
      </c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</row>
    <row r="14" spans="1:13" ht="15">
      <c r="A14" s="784">
        <v>4</v>
      </c>
      <c r="B14" s="816" t="s">
        <v>743</v>
      </c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</row>
    <row r="15" spans="1:13" ht="15">
      <c r="A15" s="784">
        <v>5</v>
      </c>
      <c r="B15" s="816" t="s">
        <v>748</v>
      </c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</row>
    <row r="16" spans="1:13" ht="15">
      <c r="A16" s="784">
        <v>6</v>
      </c>
      <c r="B16" s="816" t="s">
        <v>747</v>
      </c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</row>
    <row r="17" spans="1:13" ht="15">
      <c r="A17" s="784">
        <v>7</v>
      </c>
      <c r="B17" s="816" t="s">
        <v>737</v>
      </c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</row>
    <row r="18" spans="1:13" ht="15">
      <c r="A18" s="784">
        <v>8</v>
      </c>
      <c r="B18" s="816" t="s">
        <v>749</v>
      </c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</row>
    <row r="19" spans="1:13" ht="15">
      <c r="A19" s="784">
        <v>9</v>
      </c>
      <c r="B19" s="816" t="s">
        <v>834</v>
      </c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</row>
    <row r="20" spans="1:13" ht="15">
      <c r="A20" s="784">
        <v>10</v>
      </c>
      <c r="B20" s="816" t="s">
        <v>739</v>
      </c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</row>
    <row r="21" spans="1:13" ht="15">
      <c r="A21" s="784">
        <v>11</v>
      </c>
      <c r="B21" s="816" t="s">
        <v>840</v>
      </c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</row>
    <row r="22" spans="1:13" ht="15">
      <c r="A22" s="784">
        <v>12</v>
      </c>
      <c r="B22" s="816" t="s">
        <v>837</v>
      </c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</row>
    <row r="23" spans="1:13" ht="15">
      <c r="A23" s="784">
        <v>13</v>
      </c>
      <c r="B23" s="816" t="s">
        <v>831</v>
      </c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</row>
    <row r="24" spans="1:13" ht="15">
      <c r="A24" s="784">
        <v>14</v>
      </c>
      <c r="B24" s="816" t="s">
        <v>740</v>
      </c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</row>
    <row r="25" spans="1:13" ht="15">
      <c r="A25" s="784">
        <v>15</v>
      </c>
      <c r="B25" s="816" t="s">
        <v>835</v>
      </c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</row>
    <row r="26" spans="1:13" ht="15">
      <c r="A26" s="784">
        <v>16</v>
      </c>
      <c r="B26" s="816" t="s">
        <v>832</v>
      </c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</row>
    <row r="27" spans="1:13" ht="15">
      <c r="A27" s="784">
        <v>17</v>
      </c>
      <c r="B27" s="816" t="s">
        <v>733</v>
      </c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</row>
    <row r="28" spans="1:13" ht="15">
      <c r="A28" s="784">
        <v>18</v>
      </c>
      <c r="B28" s="816" t="s">
        <v>735</v>
      </c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</row>
    <row r="29" spans="1:13" ht="15">
      <c r="A29" s="784">
        <v>19</v>
      </c>
      <c r="B29" s="816" t="s">
        <v>732</v>
      </c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</row>
    <row r="30" spans="1:13" ht="15">
      <c r="A30" s="784">
        <v>20</v>
      </c>
      <c r="B30" s="816" t="s">
        <v>836</v>
      </c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</row>
    <row r="31" spans="1:13" ht="15">
      <c r="A31" s="784">
        <v>21</v>
      </c>
      <c r="B31" s="816" t="s">
        <v>729</v>
      </c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</row>
    <row r="32" spans="1:13" ht="15">
      <c r="A32" s="784">
        <v>22</v>
      </c>
      <c r="B32" s="816" t="s">
        <v>746</v>
      </c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</row>
    <row r="33" spans="1:13" ht="15">
      <c r="A33" s="784">
        <v>23</v>
      </c>
      <c r="B33" s="816" t="s">
        <v>738</v>
      </c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</row>
    <row r="34" spans="1:13" ht="15">
      <c r="A34" s="784">
        <v>24</v>
      </c>
      <c r="B34" s="816" t="s">
        <v>730</v>
      </c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</row>
    <row r="35" spans="1:13" ht="15">
      <c r="A35" s="784">
        <v>25</v>
      </c>
      <c r="B35" s="816" t="s">
        <v>736</v>
      </c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</row>
    <row r="36" spans="1:13" ht="15">
      <c r="A36" s="784">
        <v>26</v>
      </c>
      <c r="B36" s="816" t="s">
        <v>744</v>
      </c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M36" s="393"/>
    </row>
    <row r="37" spans="1:13" ht="15">
      <c r="A37" s="786">
        <v>27</v>
      </c>
      <c r="B37" s="816" t="s">
        <v>838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2.75">
      <c r="A38" s="29" t="s">
        <v>19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6" ht="16.5" customHeight="1">
      <c r="B39" s="212"/>
      <c r="C39" s="1145"/>
      <c r="D39" s="1145"/>
      <c r="E39" s="1145"/>
      <c r="F39" s="1145"/>
    </row>
    <row r="41" spans="1:12" ht="12.75">
      <c r="A41" s="394"/>
      <c r="B41" s="394"/>
      <c r="C41" s="394"/>
      <c r="D41" s="394"/>
      <c r="I41" s="1035" t="s">
        <v>13</v>
      </c>
      <c r="J41" s="1035"/>
      <c r="K41" s="395"/>
      <c r="L41" s="395"/>
    </row>
    <row r="42" spans="1:13" ht="15" customHeight="1">
      <c r="A42" s="394"/>
      <c r="B42" s="394"/>
      <c r="C42" s="394"/>
      <c r="D42" s="394"/>
      <c r="G42" s="1035" t="s">
        <v>14</v>
      </c>
      <c r="H42" s="1035"/>
      <c r="I42" s="1035"/>
      <c r="J42" s="1035"/>
      <c r="K42" s="1035"/>
      <c r="L42" s="1035"/>
      <c r="M42" s="1035"/>
    </row>
    <row r="43" spans="1:13" ht="15" customHeight="1">
      <c r="A43" s="394"/>
      <c r="B43" s="394"/>
      <c r="C43" s="394"/>
      <c r="D43" s="394"/>
      <c r="G43" s="1035" t="s">
        <v>727</v>
      </c>
      <c r="H43" s="1035"/>
      <c r="I43" s="1035"/>
      <c r="J43" s="1035"/>
      <c r="K43" s="1035"/>
      <c r="L43" s="1035"/>
      <c r="M43" s="1035"/>
    </row>
    <row r="44" spans="1:12" ht="12.75">
      <c r="A44" s="394" t="s">
        <v>12</v>
      </c>
      <c r="C44" s="394"/>
      <c r="D44" s="394"/>
      <c r="G44" s="1068" t="s">
        <v>84</v>
      </c>
      <c r="H44" s="1068"/>
      <c r="I44" s="396"/>
      <c r="J44" s="396"/>
      <c r="K44" s="396"/>
      <c r="L44" s="396"/>
    </row>
  </sheetData>
  <sheetProtection/>
  <mergeCells count="16">
    <mergeCell ref="C1:I1"/>
    <mergeCell ref="L1:M1"/>
    <mergeCell ref="B2:L2"/>
    <mergeCell ref="A4:M4"/>
    <mergeCell ref="A5:G5"/>
    <mergeCell ref="H5:M5"/>
    <mergeCell ref="I41:J41"/>
    <mergeCell ref="G42:M42"/>
    <mergeCell ref="G43:M43"/>
    <mergeCell ref="G44:H44"/>
    <mergeCell ref="A6:A9"/>
    <mergeCell ref="B6:B9"/>
    <mergeCell ref="C6:G8"/>
    <mergeCell ref="H6:L8"/>
    <mergeCell ref="M6:M9"/>
    <mergeCell ref="C39:F3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4" r:id="rId2"/>
  <colBreaks count="1" manualBreakCount="1">
    <brk id="13" max="65535" man="1"/>
  </colBreaks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L46"/>
  <sheetViews>
    <sheetView view="pageBreakPreview" zoomScaleSheetLayoutView="100" zoomScalePageLayoutView="0" workbookViewId="0" topLeftCell="A7">
      <selection activeCell="F38" sqref="F38"/>
    </sheetView>
  </sheetViews>
  <sheetFormatPr defaultColWidth="9.140625" defaultRowHeight="12.75"/>
  <cols>
    <col min="1" max="1" width="36.00390625" style="438" customWidth="1"/>
    <col min="2" max="2" width="46.00390625" style="438" customWidth="1"/>
    <col min="3" max="3" width="21.8515625" style="438" customWidth="1"/>
    <col min="4" max="4" width="22.57421875" style="438" customWidth="1"/>
    <col min="5" max="5" width="19.421875" style="438" customWidth="1"/>
    <col min="6" max="6" width="17.421875" style="438" customWidth="1"/>
    <col min="7" max="16384" width="9.140625" style="438" customWidth="1"/>
  </cols>
  <sheetData>
    <row r="1" spans="1:12" ht="18">
      <c r="A1" s="1056" t="s">
        <v>0</v>
      </c>
      <c r="B1" s="1056"/>
      <c r="C1" s="1056"/>
      <c r="D1" s="1056"/>
      <c r="E1" s="1056"/>
      <c r="F1" s="439" t="s">
        <v>696</v>
      </c>
      <c r="G1" s="739"/>
      <c r="H1" s="739"/>
      <c r="I1" s="739"/>
      <c r="J1" s="739"/>
      <c r="K1" s="739"/>
      <c r="L1" s="739"/>
    </row>
    <row r="2" spans="1:12" ht="21">
      <c r="A2" s="1057" t="s">
        <v>859</v>
      </c>
      <c r="B2" s="1057"/>
      <c r="C2" s="1057"/>
      <c r="D2" s="1057"/>
      <c r="E2" s="1057"/>
      <c r="F2" s="1057"/>
      <c r="G2" s="740"/>
      <c r="H2" s="740"/>
      <c r="I2" s="740"/>
      <c r="J2" s="740"/>
      <c r="K2" s="740"/>
      <c r="L2" s="740"/>
    </row>
    <row r="3" spans="1:6" ht="12.75">
      <c r="A3" s="741"/>
      <c r="B3" s="741"/>
      <c r="C3" s="741"/>
      <c r="D3" s="741"/>
      <c r="E3" s="741"/>
      <c r="F3" s="741"/>
    </row>
    <row r="4" spans="1:7" ht="18.75">
      <c r="A4" s="1149" t="s">
        <v>697</v>
      </c>
      <c r="B4" s="1149"/>
      <c r="C4" s="1149"/>
      <c r="D4" s="1149"/>
      <c r="E4" s="1149"/>
      <c r="F4" s="1149"/>
      <c r="G4" s="1149"/>
    </row>
    <row r="5" spans="1:7" ht="18.75">
      <c r="A5" s="443" t="s">
        <v>636</v>
      </c>
      <c r="B5" s="742"/>
      <c r="C5" s="742"/>
      <c r="D5" s="742"/>
      <c r="E5" s="742"/>
      <c r="F5" s="742"/>
      <c r="G5" s="742"/>
    </row>
    <row r="6" spans="1:6" ht="31.5">
      <c r="A6" s="743"/>
      <c r="B6" s="744" t="s">
        <v>324</v>
      </c>
      <c r="C6" s="744" t="s">
        <v>325</v>
      </c>
      <c r="D6" s="744" t="s">
        <v>326</v>
      </c>
      <c r="E6" s="745"/>
      <c r="F6" s="745"/>
    </row>
    <row r="7" spans="1:6" ht="15">
      <c r="A7" s="746" t="s">
        <v>327</v>
      </c>
      <c r="B7" s="746" t="s">
        <v>756</v>
      </c>
      <c r="C7" s="746" t="s">
        <v>757</v>
      </c>
      <c r="D7" s="746" t="s">
        <v>758</v>
      </c>
      <c r="E7" s="745"/>
      <c r="F7" s="745"/>
    </row>
    <row r="8" spans="1:6" ht="13.5" customHeight="1">
      <c r="A8" s="746" t="s">
        <v>328</v>
      </c>
      <c r="B8" s="746" t="s">
        <v>759</v>
      </c>
      <c r="C8" s="746" t="s">
        <v>759</v>
      </c>
      <c r="D8" s="746" t="s">
        <v>760</v>
      </c>
      <c r="E8" s="745"/>
      <c r="F8" s="745"/>
    </row>
    <row r="9" spans="1:6" ht="13.5" customHeight="1">
      <c r="A9" s="746" t="s">
        <v>329</v>
      </c>
      <c r="B9" s="746" t="s">
        <v>761</v>
      </c>
      <c r="C9" s="746" t="s">
        <v>761</v>
      </c>
      <c r="D9" s="746" t="s">
        <v>761</v>
      </c>
      <c r="E9" s="745"/>
      <c r="F9" s="745"/>
    </row>
    <row r="10" spans="1:6" ht="13.5" customHeight="1">
      <c r="A10" s="747" t="s">
        <v>698</v>
      </c>
      <c r="B10" s="746">
        <v>18002331152</v>
      </c>
      <c r="C10" s="746">
        <v>18002331152</v>
      </c>
      <c r="D10" s="746">
        <v>18002331152</v>
      </c>
      <c r="E10" s="745"/>
      <c r="F10" s="745"/>
    </row>
    <row r="11" spans="1:6" ht="13.5" customHeight="1">
      <c r="A11" s="747" t="s">
        <v>699</v>
      </c>
      <c r="B11" s="748" t="s">
        <v>754</v>
      </c>
      <c r="C11" s="748" t="s">
        <v>762</v>
      </c>
      <c r="D11" s="748" t="s">
        <v>762</v>
      </c>
      <c r="E11" s="745"/>
      <c r="F11" s="745"/>
    </row>
    <row r="12" spans="1:6" ht="13.5" customHeight="1">
      <c r="A12" s="747" t="s">
        <v>700</v>
      </c>
      <c r="B12" s="746"/>
      <c r="C12" s="746"/>
      <c r="D12" s="746"/>
      <c r="E12" s="745"/>
      <c r="F12" s="745"/>
    </row>
    <row r="13" spans="1:6" ht="13.5" customHeight="1">
      <c r="A13" s="747" t="s">
        <v>701</v>
      </c>
      <c r="B13" s="749" t="s">
        <v>755</v>
      </c>
      <c r="C13" s="746"/>
      <c r="D13" s="746"/>
      <c r="E13" s="745"/>
      <c r="F13" s="745"/>
    </row>
    <row r="14" spans="1:6" ht="13.5" customHeight="1">
      <c r="A14" s="747" t="s">
        <v>702</v>
      </c>
      <c r="B14" s="746"/>
      <c r="C14" s="746"/>
      <c r="D14" s="746"/>
      <c r="E14" s="745"/>
      <c r="F14" s="745"/>
    </row>
    <row r="15" spans="1:6" ht="13.5" customHeight="1">
      <c r="A15" s="747" t="s">
        <v>703</v>
      </c>
      <c r="B15" s="746"/>
      <c r="C15" s="746"/>
      <c r="D15" s="746"/>
      <c r="E15" s="745"/>
      <c r="F15" s="745"/>
    </row>
    <row r="16" spans="1:6" ht="13.5" customHeight="1">
      <c r="A16" s="747" t="s">
        <v>704</v>
      </c>
      <c r="B16" s="746"/>
      <c r="C16" s="746"/>
      <c r="D16" s="746"/>
      <c r="E16" s="745"/>
      <c r="F16" s="745"/>
    </row>
    <row r="17" spans="1:6" ht="13.5" customHeight="1">
      <c r="A17" s="747" t="s">
        <v>705</v>
      </c>
      <c r="B17" s="746"/>
      <c r="C17" s="746"/>
      <c r="D17" s="746"/>
      <c r="E17" s="745"/>
      <c r="F17" s="745"/>
    </row>
    <row r="18" spans="1:6" ht="13.5" customHeight="1">
      <c r="A18" s="750"/>
      <c r="B18" s="751"/>
      <c r="C18" s="751"/>
      <c r="D18" s="751"/>
      <c r="E18" s="745"/>
      <c r="F18" s="745"/>
    </row>
    <row r="19" spans="1:7" ht="13.5" customHeight="1">
      <c r="A19" s="1150" t="s">
        <v>330</v>
      </c>
      <c r="B19" s="1150"/>
      <c r="C19" s="1150"/>
      <c r="D19" s="1150"/>
      <c r="E19" s="1150"/>
      <c r="F19" s="1150"/>
      <c r="G19" s="1150"/>
    </row>
    <row r="20" spans="1:7" ht="15">
      <c r="A20" s="745"/>
      <c r="B20" s="745"/>
      <c r="C20" s="745"/>
      <c r="D20" s="745"/>
      <c r="E20" s="1059" t="s">
        <v>906</v>
      </c>
      <c r="F20" s="1059"/>
      <c r="G20" s="1059"/>
    </row>
    <row r="21" spans="1:6" ht="45.75" customHeight="1">
      <c r="A21" s="752" t="s">
        <v>424</v>
      </c>
      <c r="B21" s="752" t="s">
        <v>3</v>
      </c>
      <c r="C21" s="753" t="s">
        <v>331</v>
      </c>
      <c r="D21" s="754" t="s">
        <v>332</v>
      </c>
      <c r="E21" s="752" t="s">
        <v>333</v>
      </c>
      <c r="F21" s="752" t="s">
        <v>334</v>
      </c>
    </row>
    <row r="22" spans="1:6" ht="15">
      <c r="A22" s="746" t="s">
        <v>335</v>
      </c>
      <c r="B22" s="746" t="s">
        <v>843</v>
      </c>
      <c r="C22" s="746">
        <v>3</v>
      </c>
      <c r="D22" s="755" t="s">
        <v>844</v>
      </c>
      <c r="E22" s="756" t="s">
        <v>845</v>
      </c>
      <c r="F22" s="756"/>
    </row>
    <row r="23" spans="1:6" ht="25.5">
      <c r="A23" s="746" t="s">
        <v>336</v>
      </c>
      <c r="B23" s="746" t="s">
        <v>846</v>
      </c>
      <c r="C23" s="746">
        <v>7</v>
      </c>
      <c r="D23" s="757" t="s">
        <v>847</v>
      </c>
      <c r="E23" s="756" t="s">
        <v>848</v>
      </c>
      <c r="F23" s="756"/>
    </row>
    <row r="24" spans="1:6" ht="15">
      <c r="A24" s="746" t="s">
        <v>337</v>
      </c>
      <c r="B24" s="746"/>
      <c r="C24" s="450"/>
      <c r="D24" s="755"/>
      <c r="E24" s="756"/>
      <c r="F24" s="756"/>
    </row>
    <row r="25" spans="1:6" ht="25.5">
      <c r="A25" s="746" t="s">
        <v>338</v>
      </c>
      <c r="B25" s="746"/>
      <c r="C25" s="450"/>
      <c r="D25" s="757"/>
      <c r="E25" s="758"/>
      <c r="F25" s="756"/>
    </row>
    <row r="26" spans="1:6" ht="32.25" customHeight="1">
      <c r="A26" s="746" t="s">
        <v>339</v>
      </c>
      <c r="B26" s="746"/>
      <c r="C26" s="450"/>
      <c r="D26" s="755"/>
      <c r="E26" s="756"/>
      <c r="F26" s="756"/>
    </row>
    <row r="27" spans="1:6" ht="15">
      <c r="A27" s="746" t="s">
        <v>340</v>
      </c>
      <c r="B27" s="746"/>
      <c r="C27" s="450"/>
      <c r="D27" s="755"/>
      <c r="E27" s="756"/>
      <c r="F27" s="756"/>
    </row>
    <row r="28" spans="1:6" ht="57" customHeight="1">
      <c r="A28" s="746" t="s">
        <v>341</v>
      </c>
      <c r="B28" s="746" t="s">
        <v>1000</v>
      </c>
      <c r="C28" s="520">
        <v>20</v>
      </c>
      <c r="D28" s="757" t="s">
        <v>1001</v>
      </c>
      <c r="E28" s="759" t="s">
        <v>1002</v>
      </c>
      <c r="F28" s="760" t="s">
        <v>842</v>
      </c>
    </row>
    <row r="29" spans="1:6" ht="15">
      <c r="A29" s="746" t="s">
        <v>342</v>
      </c>
      <c r="B29" s="746"/>
      <c r="C29" s="746"/>
      <c r="D29" s="755"/>
      <c r="E29" s="756"/>
      <c r="F29" s="756"/>
    </row>
    <row r="30" spans="1:6" ht="15">
      <c r="A30" s="746" t="s">
        <v>343</v>
      </c>
      <c r="B30" s="746"/>
      <c r="C30" s="746"/>
      <c r="D30" s="755"/>
      <c r="E30" s="756"/>
      <c r="F30" s="756"/>
    </row>
    <row r="31" spans="1:6" ht="15">
      <c r="A31" s="746" t="s">
        <v>344</v>
      </c>
      <c r="B31" s="746"/>
      <c r="C31" s="746"/>
      <c r="D31" s="755"/>
      <c r="E31" s="756"/>
      <c r="F31" s="756"/>
    </row>
    <row r="32" spans="1:6" ht="15">
      <c r="A32" s="746" t="s">
        <v>345</v>
      </c>
      <c r="B32" s="746"/>
      <c r="C32" s="746"/>
      <c r="D32" s="755"/>
      <c r="E32" s="756"/>
      <c r="F32" s="756"/>
    </row>
    <row r="33" spans="1:6" ht="15">
      <c r="A33" s="746" t="s">
        <v>346</v>
      </c>
      <c r="B33" s="746"/>
      <c r="C33" s="746"/>
      <c r="D33" s="755"/>
      <c r="E33" s="756"/>
      <c r="F33" s="756"/>
    </row>
    <row r="34" spans="1:6" ht="15">
      <c r="A34" s="746" t="s">
        <v>347</v>
      </c>
      <c r="B34" s="746"/>
      <c r="C34" s="746"/>
      <c r="D34" s="755"/>
      <c r="E34" s="756"/>
      <c r="F34" s="756"/>
    </row>
    <row r="35" spans="1:6" ht="15">
      <c r="A35" s="746" t="s">
        <v>348</v>
      </c>
      <c r="B35" s="746"/>
      <c r="C35" s="746"/>
      <c r="D35" s="755"/>
      <c r="E35" s="756"/>
      <c r="F35" s="756"/>
    </row>
    <row r="36" spans="1:6" ht="15">
      <c r="A36" s="746" t="s">
        <v>349</v>
      </c>
      <c r="B36" s="746"/>
      <c r="C36" s="746"/>
      <c r="D36" s="755"/>
      <c r="E36" s="756"/>
      <c r="F36" s="756"/>
    </row>
    <row r="37" spans="1:6" ht="29.25" customHeight="1">
      <c r="A37" s="746" t="s">
        <v>350</v>
      </c>
      <c r="B37" s="761" t="s">
        <v>849</v>
      </c>
      <c r="C37" s="748">
        <v>2</v>
      </c>
      <c r="D37" s="762" t="s">
        <v>850</v>
      </c>
      <c r="E37" s="756"/>
      <c r="F37" s="756"/>
    </row>
    <row r="38" spans="1:6" ht="51">
      <c r="A38" s="746" t="s">
        <v>1003</v>
      </c>
      <c r="B38" s="746" t="s">
        <v>1004</v>
      </c>
      <c r="C38" s="746">
        <v>14</v>
      </c>
      <c r="D38" s="755" t="s">
        <v>1005</v>
      </c>
      <c r="E38" s="763" t="s">
        <v>1006</v>
      </c>
      <c r="F38" s="756"/>
    </row>
    <row r="39" spans="1:6" ht="15">
      <c r="A39" s="761" t="s">
        <v>19</v>
      </c>
      <c r="B39" s="746"/>
      <c r="C39" s="746">
        <f>SUM(C22:C38)</f>
        <v>46</v>
      </c>
      <c r="D39" s="755"/>
      <c r="E39" s="756"/>
      <c r="F39" s="756"/>
    </row>
    <row r="43" spans="1:7" ht="15" customHeight="1">
      <c r="A43" s="764"/>
      <c r="B43" s="764"/>
      <c r="C43" s="764"/>
      <c r="D43" s="1148" t="s">
        <v>13</v>
      </c>
      <c r="E43" s="1148"/>
      <c r="F43" s="765"/>
      <c r="G43" s="766"/>
    </row>
    <row r="44" spans="1:7" ht="15" customHeight="1">
      <c r="A44" s="764"/>
      <c r="B44" s="764"/>
      <c r="C44" s="764"/>
      <c r="D44" s="1148" t="s">
        <v>14</v>
      </c>
      <c r="E44" s="1148"/>
      <c r="F44" s="766"/>
      <c r="G44" s="766"/>
    </row>
    <row r="45" spans="1:7" ht="15" customHeight="1">
      <c r="A45" s="764"/>
      <c r="B45" s="764"/>
      <c r="C45" s="764"/>
      <c r="D45" s="1148" t="s">
        <v>662</v>
      </c>
      <c r="E45" s="1148"/>
      <c r="F45" s="766"/>
      <c r="G45" s="766"/>
    </row>
    <row r="46" spans="1:7" ht="12.75">
      <c r="A46" s="764" t="s">
        <v>12</v>
      </c>
      <c r="C46" s="764"/>
      <c r="D46" s="767" t="s">
        <v>84</v>
      </c>
      <c r="E46" s="767"/>
      <c r="F46" s="767"/>
      <c r="G46" s="768"/>
    </row>
  </sheetData>
  <sheetProtection/>
  <mergeCells count="8">
    <mergeCell ref="D44:E44"/>
    <mergeCell ref="D45:E45"/>
    <mergeCell ref="A1:E1"/>
    <mergeCell ref="A2:F2"/>
    <mergeCell ref="A4:G4"/>
    <mergeCell ref="A19:G19"/>
    <mergeCell ref="E20:G20"/>
    <mergeCell ref="D43:E43"/>
  </mergeCells>
  <hyperlinks>
    <hyperlink ref="B13" r:id="rId1" display="dpi.mdm@gmail.com"/>
  </hyperlink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2" r:id="rId2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4"/>
  </sheetPr>
  <dimension ref="B2:I18"/>
  <sheetViews>
    <sheetView view="pageBreakPreview" zoomScale="90" zoomScaleSheetLayoutView="90" zoomScalePageLayoutView="0" workbookViewId="0" topLeftCell="A1">
      <selection activeCell="O26" sqref="O26"/>
    </sheetView>
  </sheetViews>
  <sheetFormatPr defaultColWidth="9.140625" defaultRowHeight="12.75"/>
  <sheetData>
    <row r="2" ht="12.75">
      <c r="B2" s="14"/>
    </row>
    <row r="4" ht="12.75" customHeight="1"/>
    <row r="5" ht="12.75" customHeight="1"/>
    <row r="6" ht="12.75" customHeight="1"/>
    <row r="7" ht="12.75" customHeight="1"/>
    <row r="8" ht="12.75" customHeight="1"/>
    <row r="9" spans="3:9" ht="12.75" customHeight="1">
      <c r="C9" s="1151" t="s">
        <v>860</v>
      </c>
      <c r="D9" s="1152"/>
      <c r="E9" s="1152"/>
      <c r="F9" s="1152"/>
      <c r="G9" s="1152"/>
      <c r="H9" s="1152"/>
      <c r="I9" s="1152"/>
    </row>
    <row r="10" spans="3:9" ht="12.75" customHeight="1">
      <c r="C10" s="1152"/>
      <c r="D10" s="1152"/>
      <c r="E10" s="1152"/>
      <c r="F10" s="1152"/>
      <c r="G10" s="1152"/>
      <c r="H10" s="1152"/>
      <c r="I10" s="1152"/>
    </row>
    <row r="11" spans="3:9" ht="12.75" customHeight="1">
      <c r="C11" s="1152"/>
      <c r="D11" s="1152"/>
      <c r="E11" s="1152"/>
      <c r="F11" s="1152"/>
      <c r="G11" s="1152"/>
      <c r="H11" s="1152"/>
      <c r="I11" s="1152"/>
    </row>
    <row r="12" spans="3:9" ht="12.75" customHeight="1">
      <c r="C12" s="1152"/>
      <c r="D12" s="1152"/>
      <c r="E12" s="1152"/>
      <c r="F12" s="1152"/>
      <c r="G12" s="1152"/>
      <c r="H12" s="1152"/>
      <c r="I12" s="1152"/>
    </row>
    <row r="13" spans="3:9" ht="12.75" customHeight="1">
      <c r="C13" s="1152"/>
      <c r="D13" s="1152"/>
      <c r="E13" s="1152"/>
      <c r="F13" s="1152"/>
      <c r="G13" s="1152"/>
      <c r="H13" s="1152"/>
      <c r="I13" s="1152"/>
    </row>
    <row r="14" spans="3:9" ht="12.75" customHeight="1">
      <c r="C14" s="1152"/>
      <c r="D14" s="1152"/>
      <c r="E14" s="1152"/>
      <c r="F14" s="1152"/>
      <c r="G14" s="1152"/>
      <c r="H14" s="1152"/>
      <c r="I14" s="1152"/>
    </row>
    <row r="15" spans="3:9" ht="12.75" customHeight="1">
      <c r="C15" s="1152"/>
      <c r="D15" s="1152"/>
      <c r="E15" s="1152"/>
      <c r="F15" s="1152"/>
      <c r="G15" s="1152"/>
      <c r="H15" s="1152"/>
      <c r="I15" s="1152"/>
    </row>
    <row r="16" spans="3:9" ht="12.75" customHeight="1">
      <c r="C16" s="1152"/>
      <c r="D16" s="1152"/>
      <c r="E16" s="1152"/>
      <c r="F16" s="1152"/>
      <c r="G16" s="1152"/>
      <c r="H16" s="1152"/>
      <c r="I16" s="1152"/>
    </row>
    <row r="17" spans="3:9" ht="12.75" customHeight="1">
      <c r="C17" s="1152"/>
      <c r="D17" s="1152"/>
      <c r="E17" s="1152"/>
      <c r="F17" s="1152"/>
      <c r="G17" s="1152"/>
      <c r="H17" s="1152"/>
      <c r="I17" s="1152"/>
    </row>
    <row r="18" spans="3:9" ht="12.75" customHeight="1">
      <c r="C18" s="1152"/>
      <c r="D18" s="1152"/>
      <c r="E18" s="1152"/>
      <c r="F18" s="1152"/>
      <c r="G18" s="1152"/>
      <c r="H18" s="1152"/>
      <c r="I18" s="1152"/>
    </row>
    <row r="19" ht="12.75" customHeight="1"/>
    <row r="20" ht="12.75" customHeight="1"/>
    <row r="21" ht="12.75" customHeight="1"/>
    <row r="22" ht="12.75" customHeight="1"/>
    <row r="23" ht="12.75" customHeight="1"/>
  </sheetData>
  <sheetProtection/>
  <mergeCells count="1">
    <mergeCell ref="C9:I18"/>
  </mergeCells>
  <printOptions/>
  <pageMargins left="0.7" right="0.7" top="0.75" bottom="0.75" header="0.3" footer="0.3"/>
  <pageSetup horizontalDpi="600" verticalDpi="60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T31"/>
  <sheetViews>
    <sheetView view="pageBreakPreview" zoomScale="80" zoomScaleSheetLayoutView="80" zoomScalePageLayoutView="0" workbookViewId="0" topLeftCell="A1">
      <selection activeCell="O20" sqref="O20"/>
    </sheetView>
  </sheetViews>
  <sheetFormatPr defaultColWidth="9.140625" defaultRowHeight="12.75"/>
  <cols>
    <col min="1" max="1" width="4.7109375" style="48" customWidth="1"/>
    <col min="2" max="2" width="16.8515625" style="48" customWidth="1"/>
    <col min="3" max="3" width="11.7109375" style="48" customWidth="1"/>
    <col min="4" max="4" width="12.00390625" style="48" customWidth="1"/>
    <col min="5" max="5" width="12.140625" style="48" customWidth="1"/>
    <col min="6" max="6" width="17.421875" style="48" customWidth="1"/>
    <col min="7" max="7" width="12.421875" style="48" customWidth="1"/>
    <col min="8" max="8" width="16.00390625" style="48" customWidth="1"/>
    <col min="9" max="9" width="12.7109375" style="48" customWidth="1"/>
    <col min="10" max="10" width="15.00390625" style="48" customWidth="1"/>
    <col min="11" max="11" width="16.00390625" style="48" customWidth="1"/>
    <col min="12" max="12" width="11.8515625" style="48" customWidth="1"/>
    <col min="13" max="16384" width="9.140625" style="48" customWidth="1"/>
  </cols>
  <sheetData>
    <row r="1" spans="3:11" ht="15" customHeight="1">
      <c r="C1" s="855"/>
      <c r="D1" s="855"/>
      <c r="E1" s="855"/>
      <c r="F1" s="855"/>
      <c r="G1" s="855"/>
      <c r="H1" s="855"/>
      <c r="I1" s="155"/>
      <c r="J1" s="1000" t="s">
        <v>764</v>
      </c>
      <c r="K1" s="1000"/>
    </row>
    <row r="2" spans="1:11" s="55" customFormat="1" ht="19.5" customHeight="1">
      <c r="A2" s="1154" t="s">
        <v>0</v>
      </c>
      <c r="B2" s="1154"/>
      <c r="C2" s="1154"/>
      <c r="D2" s="1154"/>
      <c r="E2" s="1154"/>
      <c r="F2" s="1154"/>
      <c r="G2" s="1154"/>
      <c r="H2" s="1154"/>
      <c r="I2" s="1154"/>
      <c r="J2" s="1154"/>
      <c r="K2" s="1154"/>
    </row>
    <row r="3" spans="1:11" s="55" customFormat="1" ht="19.5" customHeight="1">
      <c r="A3" s="1153" t="s">
        <v>859</v>
      </c>
      <c r="B3" s="1153"/>
      <c r="C3" s="1153"/>
      <c r="D3" s="1153"/>
      <c r="E3" s="1153"/>
      <c r="F3" s="1153"/>
      <c r="G3" s="1153"/>
      <c r="H3" s="1153"/>
      <c r="I3" s="1153"/>
      <c r="J3" s="1153"/>
      <c r="K3" s="1153"/>
    </row>
    <row r="4" spans="1:11" s="55" customFormat="1" ht="14.2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55" customFormat="1" ht="18" customHeight="1">
      <c r="A5" s="1067" t="s">
        <v>982</v>
      </c>
      <c r="B5" s="1067"/>
      <c r="C5" s="1067"/>
      <c r="D5" s="1067"/>
      <c r="E5" s="1067"/>
      <c r="F5" s="1067"/>
      <c r="G5" s="1067"/>
      <c r="H5" s="1067"/>
      <c r="I5" s="1067"/>
      <c r="J5" s="1067"/>
      <c r="K5" s="1067"/>
    </row>
    <row r="6" spans="1:11" ht="15.75">
      <c r="A6" s="35" t="s">
        <v>634</v>
      </c>
      <c r="B6" s="35"/>
      <c r="C6" s="106"/>
      <c r="D6" s="106"/>
      <c r="E6" s="106"/>
      <c r="F6" s="106"/>
      <c r="G6" s="106"/>
      <c r="H6" s="106"/>
      <c r="I6" s="106"/>
      <c r="J6" s="106"/>
      <c r="K6" s="106"/>
    </row>
    <row r="7" spans="1:20" ht="29.25" customHeight="1">
      <c r="A7" s="1156" t="s">
        <v>74</v>
      </c>
      <c r="B7" s="1156" t="s">
        <v>75</v>
      </c>
      <c r="C7" s="1156" t="s">
        <v>76</v>
      </c>
      <c r="D7" s="1156" t="s">
        <v>170</v>
      </c>
      <c r="E7" s="1156"/>
      <c r="F7" s="1156"/>
      <c r="G7" s="1156"/>
      <c r="H7" s="1156"/>
      <c r="I7" s="892" t="s">
        <v>262</v>
      </c>
      <c r="J7" s="1156" t="s">
        <v>77</v>
      </c>
      <c r="K7" s="1156" t="s">
        <v>480</v>
      </c>
      <c r="L7" s="1155" t="s">
        <v>78</v>
      </c>
      <c r="S7" s="54"/>
      <c r="T7" s="54"/>
    </row>
    <row r="8" spans="1:12" ht="33.75" customHeight="1">
      <c r="A8" s="1156"/>
      <c r="B8" s="1156"/>
      <c r="C8" s="1156"/>
      <c r="D8" s="1156" t="s">
        <v>79</v>
      </c>
      <c r="E8" s="1156" t="s">
        <v>80</v>
      </c>
      <c r="F8" s="1156"/>
      <c r="G8" s="1156"/>
      <c r="H8" s="50" t="s">
        <v>81</v>
      </c>
      <c r="I8" s="1157"/>
      <c r="J8" s="1156"/>
      <c r="K8" s="1156"/>
      <c r="L8" s="1155"/>
    </row>
    <row r="9" spans="1:12" ht="30">
      <c r="A9" s="1156"/>
      <c r="B9" s="1156"/>
      <c r="C9" s="1156"/>
      <c r="D9" s="1156"/>
      <c r="E9" s="50" t="s">
        <v>82</v>
      </c>
      <c r="F9" s="50" t="s">
        <v>83</v>
      </c>
      <c r="G9" s="50" t="s">
        <v>19</v>
      </c>
      <c r="H9" s="50"/>
      <c r="I9" s="893"/>
      <c r="J9" s="1156"/>
      <c r="K9" s="1156"/>
      <c r="L9" s="1155"/>
    </row>
    <row r="10" spans="1:12" s="145" customFormat="1" ht="16.5" customHeight="1">
      <c r="A10" s="144">
        <v>1</v>
      </c>
      <c r="B10" s="144">
        <v>2</v>
      </c>
      <c r="C10" s="144">
        <v>3</v>
      </c>
      <c r="D10" s="144">
        <v>4</v>
      </c>
      <c r="E10" s="144">
        <v>5</v>
      </c>
      <c r="F10" s="144">
        <v>6</v>
      </c>
      <c r="G10" s="144">
        <v>7</v>
      </c>
      <c r="H10" s="144">
        <v>8</v>
      </c>
      <c r="I10" s="144">
        <v>9</v>
      </c>
      <c r="J10" s="144">
        <v>10</v>
      </c>
      <c r="K10" s="144">
        <v>11</v>
      </c>
      <c r="L10" s="144">
        <v>12</v>
      </c>
    </row>
    <row r="11" spans="1:12" ht="16.5" customHeight="1">
      <c r="A11" s="57">
        <v>1</v>
      </c>
      <c r="B11" s="58" t="s">
        <v>983</v>
      </c>
      <c r="C11" s="52">
        <v>30</v>
      </c>
      <c r="D11" s="51">
        <v>0</v>
      </c>
      <c r="E11" s="51">
        <v>4</v>
      </c>
      <c r="F11" s="51">
        <v>3</v>
      </c>
      <c r="G11" s="51">
        <f>SUM(E11:F11)</f>
        <v>7</v>
      </c>
      <c r="H11" s="51">
        <f>D11+G11</f>
        <v>7</v>
      </c>
      <c r="I11" s="51">
        <f>C11-H11</f>
        <v>23</v>
      </c>
      <c r="J11" s="51">
        <v>23</v>
      </c>
      <c r="K11" s="51"/>
      <c r="L11" s="51"/>
    </row>
    <row r="12" spans="1:12" ht="16.5" customHeight="1">
      <c r="A12" s="57">
        <v>2</v>
      </c>
      <c r="B12" s="58" t="s">
        <v>984</v>
      </c>
      <c r="C12" s="52">
        <v>31</v>
      </c>
      <c r="D12" s="51">
        <v>31</v>
      </c>
      <c r="E12" s="51">
        <v>0</v>
      </c>
      <c r="F12" s="51">
        <v>0</v>
      </c>
      <c r="G12" s="51">
        <f aca="true" t="shared" si="0" ref="G12:G22">SUM(E12:F12)</f>
        <v>0</v>
      </c>
      <c r="H12" s="51">
        <f aca="true" t="shared" si="1" ref="H12:H22">D12+G12</f>
        <v>31</v>
      </c>
      <c r="I12" s="51">
        <v>0</v>
      </c>
      <c r="J12" s="51">
        <v>0</v>
      </c>
      <c r="K12" s="51"/>
      <c r="L12" s="51"/>
    </row>
    <row r="13" spans="1:12" ht="16.5" customHeight="1">
      <c r="A13" s="57">
        <v>3</v>
      </c>
      <c r="B13" s="58" t="s">
        <v>985</v>
      </c>
      <c r="C13" s="52">
        <v>30</v>
      </c>
      <c r="D13" s="51">
        <v>15</v>
      </c>
      <c r="E13" s="51">
        <v>3</v>
      </c>
      <c r="F13" s="51">
        <v>1</v>
      </c>
      <c r="G13" s="51">
        <f t="shared" si="0"/>
        <v>4</v>
      </c>
      <c r="H13" s="51">
        <f t="shared" si="1"/>
        <v>19</v>
      </c>
      <c r="I13" s="51">
        <f>C13-H13</f>
        <v>11</v>
      </c>
      <c r="J13" s="51">
        <v>11</v>
      </c>
      <c r="K13" s="51"/>
      <c r="L13" s="51"/>
    </row>
    <row r="14" spans="1:12" ht="16.5" customHeight="1">
      <c r="A14" s="57">
        <v>4</v>
      </c>
      <c r="B14" s="58" t="s">
        <v>986</v>
      </c>
      <c r="C14" s="52">
        <v>31</v>
      </c>
      <c r="D14" s="51">
        <v>0</v>
      </c>
      <c r="E14" s="51">
        <v>4</v>
      </c>
      <c r="F14" s="51">
        <v>0</v>
      </c>
      <c r="G14" s="51">
        <f t="shared" si="0"/>
        <v>4</v>
      </c>
      <c r="H14" s="51">
        <f t="shared" si="1"/>
        <v>4</v>
      </c>
      <c r="I14" s="51">
        <f aca="true" t="shared" si="2" ref="I14:I22">C14-H14</f>
        <v>27</v>
      </c>
      <c r="J14" s="51">
        <v>27</v>
      </c>
      <c r="K14" s="51"/>
      <c r="L14" s="51"/>
    </row>
    <row r="15" spans="1:12" ht="16.5" customHeight="1">
      <c r="A15" s="57">
        <v>5</v>
      </c>
      <c r="B15" s="58" t="s">
        <v>987</v>
      </c>
      <c r="C15" s="52">
        <v>31</v>
      </c>
      <c r="D15" s="51">
        <v>0</v>
      </c>
      <c r="E15" s="51">
        <v>4</v>
      </c>
      <c r="F15" s="51">
        <v>3</v>
      </c>
      <c r="G15" s="51">
        <f t="shared" si="0"/>
        <v>7</v>
      </c>
      <c r="H15" s="51">
        <f t="shared" si="1"/>
        <v>7</v>
      </c>
      <c r="I15" s="51">
        <f t="shared" si="2"/>
        <v>24</v>
      </c>
      <c r="J15" s="51">
        <v>24</v>
      </c>
      <c r="K15" s="51"/>
      <c r="L15" s="51"/>
    </row>
    <row r="16" spans="1:13" s="56" customFormat="1" ht="16.5" customHeight="1">
      <c r="A16" s="57">
        <v>6</v>
      </c>
      <c r="B16" s="58" t="s">
        <v>988</v>
      </c>
      <c r="C16" s="57">
        <v>30</v>
      </c>
      <c r="D16" s="58">
        <v>0</v>
      </c>
      <c r="E16" s="58">
        <v>5</v>
      </c>
      <c r="F16" s="58">
        <v>1</v>
      </c>
      <c r="G16" s="51">
        <f t="shared" si="0"/>
        <v>6</v>
      </c>
      <c r="H16" s="51">
        <f t="shared" si="1"/>
        <v>6</v>
      </c>
      <c r="I16" s="51">
        <f t="shared" si="2"/>
        <v>24</v>
      </c>
      <c r="J16" s="58">
        <v>24</v>
      </c>
      <c r="K16" s="58"/>
      <c r="L16" s="58"/>
      <c r="M16" s="48"/>
    </row>
    <row r="17" spans="1:13" s="56" customFormat="1" ht="16.5" customHeight="1">
      <c r="A17" s="57">
        <v>7</v>
      </c>
      <c r="B17" s="58" t="s">
        <v>989</v>
      </c>
      <c r="C17" s="57">
        <v>31</v>
      </c>
      <c r="D17" s="58">
        <v>7</v>
      </c>
      <c r="E17" s="58">
        <v>3</v>
      </c>
      <c r="F17" s="58">
        <v>2</v>
      </c>
      <c r="G17" s="51">
        <f t="shared" si="0"/>
        <v>5</v>
      </c>
      <c r="H17" s="51">
        <f t="shared" si="1"/>
        <v>12</v>
      </c>
      <c r="I17" s="51">
        <f t="shared" si="2"/>
        <v>19</v>
      </c>
      <c r="J17" s="58">
        <v>19</v>
      </c>
      <c r="K17" s="58"/>
      <c r="L17" s="58"/>
      <c r="M17" s="48"/>
    </row>
    <row r="18" spans="1:13" s="56" customFormat="1" ht="16.5" customHeight="1">
      <c r="A18" s="57">
        <v>8</v>
      </c>
      <c r="B18" s="58" t="s">
        <v>990</v>
      </c>
      <c r="C18" s="57">
        <v>30</v>
      </c>
      <c r="D18" s="58">
        <v>0</v>
      </c>
      <c r="E18" s="58">
        <v>4</v>
      </c>
      <c r="F18" s="58">
        <v>1</v>
      </c>
      <c r="G18" s="51">
        <f t="shared" si="0"/>
        <v>5</v>
      </c>
      <c r="H18" s="51">
        <f t="shared" si="1"/>
        <v>5</v>
      </c>
      <c r="I18" s="51">
        <f t="shared" si="2"/>
        <v>25</v>
      </c>
      <c r="J18" s="58">
        <v>25</v>
      </c>
      <c r="K18" s="58"/>
      <c r="L18" s="58"/>
      <c r="M18" s="48"/>
    </row>
    <row r="19" spans="1:13" s="56" customFormat="1" ht="16.5" customHeight="1">
      <c r="A19" s="57">
        <v>9</v>
      </c>
      <c r="B19" s="58" t="s">
        <v>991</v>
      </c>
      <c r="C19" s="57">
        <v>31</v>
      </c>
      <c r="D19" s="58">
        <v>4</v>
      </c>
      <c r="E19" s="58">
        <v>4</v>
      </c>
      <c r="F19" s="58">
        <v>1</v>
      </c>
      <c r="G19" s="51">
        <f t="shared" si="0"/>
        <v>5</v>
      </c>
      <c r="H19" s="51">
        <f t="shared" si="1"/>
        <v>9</v>
      </c>
      <c r="I19" s="51">
        <f t="shared" si="2"/>
        <v>22</v>
      </c>
      <c r="J19" s="58">
        <v>22</v>
      </c>
      <c r="K19" s="58"/>
      <c r="L19" s="58"/>
      <c r="M19" s="48"/>
    </row>
    <row r="20" spans="1:13" s="56" customFormat="1" ht="16.5" customHeight="1">
      <c r="A20" s="57">
        <v>10</v>
      </c>
      <c r="B20" s="58" t="s">
        <v>992</v>
      </c>
      <c r="C20" s="57">
        <v>31</v>
      </c>
      <c r="D20" s="58">
        <v>0</v>
      </c>
      <c r="E20" s="58">
        <v>4</v>
      </c>
      <c r="F20" s="58">
        <v>2</v>
      </c>
      <c r="G20" s="51">
        <f t="shared" si="0"/>
        <v>6</v>
      </c>
      <c r="H20" s="51">
        <f t="shared" si="1"/>
        <v>6</v>
      </c>
      <c r="I20" s="51">
        <f t="shared" si="2"/>
        <v>25</v>
      </c>
      <c r="J20" s="58">
        <v>25</v>
      </c>
      <c r="K20" s="58"/>
      <c r="L20" s="58"/>
      <c r="M20" s="48"/>
    </row>
    <row r="21" spans="1:13" s="56" customFormat="1" ht="16.5" customHeight="1">
      <c r="A21" s="57">
        <v>11</v>
      </c>
      <c r="B21" s="58" t="s">
        <v>993</v>
      </c>
      <c r="C21" s="57">
        <v>28</v>
      </c>
      <c r="D21" s="59">
        <v>0</v>
      </c>
      <c r="E21" s="59">
        <v>4</v>
      </c>
      <c r="F21" s="59">
        <v>1</v>
      </c>
      <c r="G21" s="51">
        <f t="shared" si="0"/>
        <v>5</v>
      </c>
      <c r="H21" s="51">
        <f t="shared" si="1"/>
        <v>5</v>
      </c>
      <c r="I21" s="51">
        <f t="shared" si="2"/>
        <v>23</v>
      </c>
      <c r="J21" s="59">
        <v>23</v>
      </c>
      <c r="K21" s="58"/>
      <c r="L21" s="58"/>
      <c r="M21" s="48"/>
    </row>
    <row r="22" spans="1:13" s="56" customFormat="1" ht="16.5" customHeight="1">
      <c r="A22" s="57">
        <v>12</v>
      </c>
      <c r="B22" s="58" t="s">
        <v>994</v>
      </c>
      <c r="C22" s="57">
        <v>31</v>
      </c>
      <c r="D22" s="59">
        <v>0</v>
      </c>
      <c r="E22" s="59">
        <v>5</v>
      </c>
      <c r="F22" s="59">
        <v>2</v>
      </c>
      <c r="G22" s="51">
        <f t="shared" si="0"/>
        <v>7</v>
      </c>
      <c r="H22" s="51">
        <f t="shared" si="1"/>
        <v>7</v>
      </c>
      <c r="I22" s="51">
        <f t="shared" si="2"/>
        <v>24</v>
      </c>
      <c r="J22" s="59">
        <v>24</v>
      </c>
      <c r="K22" s="58"/>
      <c r="L22" s="58"/>
      <c r="M22" s="48"/>
    </row>
    <row r="23" spans="1:12" s="56" customFormat="1" ht="16.5" customHeight="1">
      <c r="A23" s="58"/>
      <c r="B23" s="60" t="s">
        <v>19</v>
      </c>
      <c r="C23" s="57">
        <f aca="true" t="shared" si="3" ref="C23:I23">SUM(C11:C22)</f>
        <v>365</v>
      </c>
      <c r="D23" s="58">
        <f t="shared" si="3"/>
        <v>57</v>
      </c>
      <c r="E23" s="58">
        <f t="shared" si="3"/>
        <v>44</v>
      </c>
      <c r="F23" s="58">
        <f t="shared" si="3"/>
        <v>17</v>
      </c>
      <c r="G23" s="58">
        <f t="shared" si="3"/>
        <v>61</v>
      </c>
      <c r="H23" s="58">
        <f t="shared" si="3"/>
        <v>118</v>
      </c>
      <c r="I23" s="58">
        <f t="shared" si="3"/>
        <v>247</v>
      </c>
      <c r="J23" s="58">
        <f>SUM(J11:J22)</f>
        <v>247</v>
      </c>
      <c r="K23" s="58"/>
      <c r="L23" s="58"/>
    </row>
    <row r="24" spans="1:11" s="56" customFormat="1" ht="11.25" customHeight="1">
      <c r="A24" s="61"/>
      <c r="B24" s="62"/>
      <c r="C24" s="63"/>
      <c r="D24" s="61"/>
      <c r="E24" s="61"/>
      <c r="F24" s="61"/>
      <c r="G24" s="61"/>
      <c r="H24" s="61"/>
      <c r="I24" s="61"/>
      <c r="J24" s="61"/>
      <c r="K24" s="61"/>
    </row>
    <row r="25" spans="1:10" ht="15">
      <c r="A25" s="53" t="s">
        <v>107</v>
      </c>
      <c r="B25" s="53"/>
      <c r="C25" s="53"/>
      <c r="D25" s="53"/>
      <c r="E25" s="53"/>
      <c r="F25" s="53"/>
      <c r="G25" s="53"/>
      <c r="H25" s="53"/>
      <c r="I25" s="53"/>
      <c r="J25" s="53"/>
    </row>
    <row r="26" spans="1:10" ht="40.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</row>
    <row r="27" spans="1:10" ht="15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2" ht="15">
      <c r="A28" s="53" t="s">
        <v>12</v>
      </c>
      <c r="B28" s="53"/>
      <c r="C28" s="53"/>
      <c r="D28" s="53"/>
      <c r="E28" s="53"/>
      <c r="F28" s="53"/>
      <c r="G28" s="14"/>
      <c r="H28" s="14"/>
      <c r="I28" s="881" t="s">
        <v>13</v>
      </c>
      <c r="J28" s="881"/>
      <c r="K28" s="83"/>
      <c r="L28" s="14"/>
    </row>
    <row r="29" spans="1:12" ht="15" customHeight="1">
      <c r="A29" s="364"/>
      <c r="B29" s="364"/>
      <c r="C29" s="364"/>
      <c r="D29" s="364"/>
      <c r="E29" s="364"/>
      <c r="F29" s="364"/>
      <c r="G29" s="83"/>
      <c r="H29" s="881" t="s">
        <v>14</v>
      </c>
      <c r="I29" s="881"/>
      <c r="J29" s="881"/>
      <c r="K29" s="881"/>
      <c r="L29" s="83"/>
    </row>
    <row r="30" spans="1:12" ht="15" customHeight="1">
      <c r="A30" s="364"/>
      <c r="B30" s="364"/>
      <c r="C30" s="364"/>
      <c r="D30" s="364"/>
      <c r="E30" s="364"/>
      <c r="F30" s="364"/>
      <c r="G30" s="881" t="s">
        <v>637</v>
      </c>
      <c r="H30" s="881"/>
      <c r="I30" s="881"/>
      <c r="J30" s="881"/>
      <c r="K30" s="881"/>
      <c r="L30" s="881"/>
    </row>
    <row r="31" spans="1:12" ht="15">
      <c r="A31" s="53"/>
      <c r="B31" s="53"/>
      <c r="C31" s="53"/>
      <c r="D31" s="53"/>
      <c r="E31" s="53"/>
      <c r="F31" s="53"/>
      <c r="G31" s="14"/>
      <c r="H31" s="14"/>
      <c r="I31" s="1" t="s">
        <v>84</v>
      </c>
      <c r="J31" s="1"/>
      <c r="K31" s="1"/>
      <c r="L31" s="1"/>
    </row>
  </sheetData>
  <sheetProtection/>
  <mergeCells count="18">
    <mergeCell ref="B7:B9"/>
    <mergeCell ref="C7:C9"/>
    <mergeCell ref="D7:H7"/>
    <mergeCell ref="J7:J9"/>
    <mergeCell ref="K7:K9"/>
    <mergeCell ref="D8:D9"/>
    <mergeCell ref="E8:G8"/>
    <mergeCell ref="I7:I9"/>
    <mergeCell ref="I28:J28"/>
    <mergeCell ref="H29:K29"/>
    <mergeCell ref="G30:L30"/>
    <mergeCell ref="C1:H1"/>
    <mergeCell ref="J1:K1"/>
    <mergeCell ref="A3:K3"/>
    <mergeCell ref="A2:K2"/>
    <mergeCell ref="L7:L9"/>
    <mergeCell ref="A5:K5"/>
    <mergeCell ref="A7:A9"/>
  </mergeCells>
  <printOptions horizontalCentered="1"/>
  <pageMargins left="0.7086614173228347" right="0.7086614173228347" top="0.78" bottom="0" header="1.01" footer="0.31496062992125984"/>
  <pageSetup fitToHeight="1" fitToWidth="1" horizontalDpi="600" verticalDpi="600" orientation="landscape" paperSize="9" scale="8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R32"/>
  <sheetViews>
    <sheetView view="pageBreakPreview" zoomScaleSheetLayoutView="100" zoomScalePageLayoutView="0" workbookViewId="0" topLeftCell="A7">
      <selection activeCell="F29" sqref="F29"/>
    </sheetView>
  </sheetViews>
  <sheetFormatPr defaultColWidth="9.140625" defaultRowHeight="12.75"/>
  <cols>
    <col min="1" max="1" width="4.7109375" style="48" customWidth="1"/>
    <col min="2" max="2" width="14.7109375" style="48" customWidth="1"/>
    <col min="3" max="3" width="11.7109375" style="48" customWidth="1"/>
    <col min="4" max="4" width="12.00390625" style="48" customWidth="1"/>
    <col min="5" max="5" width="11.8515625" style="48" customWidth="1"/>
    <col min="6" max="6" width="18.8515625" style="48" customWidth="1"/>
    <col min="7" max="7" width="10.140625" style="48" customWidth="1"/>
    <col min="8" max="8" width="14.7109375" style="48" customWidth="1"/>
    <col min="9" max="9" width="15.28125" style="48" customWidth="1"/>
    <col min="10" max="10" width="14.7109375" style="48" customWidth="1"/>
    <col min="11" max="11" width="11.8515625" style="48" customWidth="1"/>
    <col min="12" max="16384" width="9.140625" style="48" customWidth="1"/>
  </cols>
  <sheetData>
    <row r="1" spans="3:10" ht="15" customHeight="1">
      <c r="C1" s="855"/>
      <c r="D1" s="855"/>
      <c r="E1" s="855"/>
      <c r="F1" s="855"/>
      <c r="G1" s="855"/>
      <c r="H1" s="855"/>
      <c r="I1" s="155"/>
      <c r="J1" s="40" t="s">
        <v>765</v>
      </c>
    </row>
    <row r="2" spans="1:10" s="55" customFormat="1" ht="19.5" customHeight="1">
      <c r="A2" s="1154" t="s">
        <v>0</v>
      </c>
      <c r="B2" s="1154"/>
      <c r="C2" s="1154"/>
      <c r="D2" s="1154"/>
      <c r="E2" s="1154"/>
      <c r="F2" s="1154"/>
      <c r="G2" s="1154"/>
      <c r="H2" s="1154"/>
      <c r="I2" s="1154"/>
      <c r="J2" s="1154"/>
    </row>
    <row r="3" spans="1:10" s="55" customFormat="1" ht="19.5" customHeight="1">
      <c r="A3" s="1153" t="s">
        <v>859</v>
      </c>
      <c r="B3" s="1153"/>
      <c r="C3" s="1153"/>
      <c r="D3" s="1153"/>
      <c r="E3" s="1153"/>
      <c r="F3" s="1153"/>
      <c r="G3" s="1153"/>
      <c r="H3" s="1153"/>
      <c r="I3" s="1153"/>
      <c r="J3" s="1153"/>
    </row>
    <row r="4" spans="1:10" s="55" customFormat="1" ht="14.25" customHeight="1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0" s="55" customFormat="1" ht="18" customHeight="1">
      <c r="A5" s="1067" t="s">
        <v>995</v>
      </c>
      <c r="B5" s="1067"/>
      <c r="C5" s="1067"/>
      <c r="D5" s="1067"/>
      <c r="E5" s="1067"/>
      <c r="F5" s="1067"/>
      <c r="G5" s="1067"/>
      <c r="H5" s="1067"/>
      <c r="I5" s="1067"/>
      <c r="J5" s="1067"/>
    </row>
    <row r="6" spans="1:10" ht="15.75">
      <c r="A6" s="35" t="s">
        <v>634</v>
      </c>
      <c r="B6" s="35"/>
      <c r="C6" s="130"/>
      <c r="D6" s="130"/>
      <c r="E6" s="130"/>
      <c r="F6" s="130"/>
      <c r="G6" s="130"/>
      <c r="H6" s="130"/>
      <c r="I6" s="153"/>
      <c r="J6" s="153"/>
    </row>
    <row r="7" spans="1:11" ht="29.25" customHeight="1">
      <c r="A7" s="1156" t="s">
        <v>74</v>
      </c>
      <c r="B7" s="1156" t="s">
        <v>75</v>
      </c>
      <c r="C7" s="1156" t="s">
        <v>76</v>
      </c>
      <c r="D7" s="1156" t="s">
        <v>171</v>
      </c>
      <c r="E7" s="1156"/>
      <c r="F7" s="1156"/>
      <c r="G7" s="1156"/>
      <c r="H7" s="1156"/>
      <c r="I7" s="892" t="s">
        <v>262</v>
      </c>
      <c r="J7" s="1156" t="s">
        <v>77</v>
      </c>
      <c r="K7" s="1156" t="s">
        <v>245</v>
      </c>
    </row>
    <row r="8" spans="1:18" ht="33.75" customHeight="1">
      <c r="A8" s="1156"/>
      <c r="B8" s="1156"/>
      <c r="C8" s="1156"/>
      <c r="D8" s="1156" t="s">
        <v>79</v>
      </c>
      <c r="E8" s="1156" t="s">
        <v>80</v>
      </c>
      <c r="F8" s="1156"/>
      <c r="G8" s="1156"/>
      <c r="H8" s="892" t="s">
        <v>81</v>
      </c>
      <c r="I8" s="1157"/>
      <c r="J8" s="1156"/>
      <c r="K8" s="1156"/>
      <c r="Q8" s="54"/>
      <c r="R8" s="54"/>
    </row>
    <row r="9" spans="1:11" ht="33.75" customHeight="1">
      <c r="A9" s="1156"/>
      <c r="B9" s="1156"/>
      <c r="C9" s="1156"/>
      <c r="D9" s="1156"/>
      <c r="E9" s="50" t="s">
        <v>82</v>
      </c>
      <c r="F9" s="50" t="s">
        <v>83</v>
      </c>
      <c r="G9" s="50" t="s">
        <v>19</v>
      </c>
      <c r="H9" s="893"/>
      <c r="I9" s="893"/>
      <c r="J9" s="1156"/>
      <c r="K9" s="1156"/>
    </row>
    <row r="10" spans="1:11" s="56" customFormat="1" ht="16.5" customHeight="1">
      <c r="A10" s="50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  <c r="I10" s="50">
        <v>9</v>
      </c>
      <c r="J10" s="50">
        <v>10</v>
      </c>
      <c r="K10" s="50">
        <v>11</v>
      </c>
    </row>
    <row r="11" spans="1:11" ht="16.5" customHeight="1">
      <c r="A11" s="57">
        <v>1</v>
      </c>
      <c r="B11" s="58" t="s">
        <v>645</v>
      </c>
      <c r="C11" s="52">
        <v>30</v>
      </c>
      <c r="D11" s="51">
        <v>0</v>
      </c>
      <c r="E11" s="51">
        <v>4</v>
      </c>
      <c r="F11" s="51">
        <v>3</v>
      </c>
      <c r="G11" s="51">
        <f>SUM(E11:F11)</f>
        <v>7</v>
      </c>
      <c r="H11" s="51">
        <f>D11+G11</f>
        <v>7</v>
      </c>
      <c r="I11" s="51">
        <f>C11-H11</f>
        <v>23</v>
      </c>
      <c r="J11" s="51">
        <v>23</v>
      </c>
      <c r="K11" s="51"/>
    </row>
    <row r="12" spans="1:11" ht="16.5" customHeight="1">
      <c r="A12" s="57">
        <v>2</v>
      </c>
      <c r="B12" s="58" t="s">
        <v>646</v>
      </c>
      <c r="C12" s="52">
        <v>31</v>
      </c>
      <c r="D12" s="51">
        <v>31</v>
      </c>
      <c r="E12" s="51">
        <v>0</v>
      </c>
      <c r="F12" s="51">
        <v>0</v>
      </c>
      <c r="G12" s="51">
        <f aca="true" t="shared" si="0" ref="G12:G22">SUM(E12:F12)</f>
        <v>0</v>
      </c>
      <c r="H12" s="51">
        <f aca="true" t="shared" si="1" ref="H12:H22">D12+G12</f>
        <v>31</v>
      </c>
      <c r="I12" s="51">
        <f>C12-H12</f>
        <v>0</v>
      </c>
      <c r="J12" s="51">
        <v>0</v>
      </c>
      <c r="K12" s="51"/>
    </row>
    <row r="13" spans="1:11" ht="16.5" customHeight="1">
      <c r="A13" s="57">
        <v>3</v>
      </c>
      <c r="B13" s="58" t="s">
        <v>647</v>
      </c>
      <c r="C13" s="52">
        <v>30</v>
      </c>
      <c r="D13" s="51">
        <v>15</v>
      </c>
      <c r="E13" s="51">
        <v>3</v>
      </c>
      <c r="F13" s="51">
        <v>1</v>
      </c>
      <c r="G13" s="51">
        <f t="shared" si="0"/>
        <v>4</v>
      </c>
      <c r="H13" s="51">
        <f t="shared" si="1"/>
        <v>19</v>
      </c>
      <c r="I13" s="51">
        <f>C13-H13</f>
        <v>11</v>
      </c>
      <c r="J13" s="51">
        <v>11</v>
      </c>
      <c r="K13" s="51"/>
    </row>
    <row r="14" spans="1:11" ht="16.5" customHeight="1">
      <c r="A14" s="57">
        <v>4</v>
      </c>
      <c r="B14" s="58" t="s">
        <v>648</v>
      </c>
      <c r="C14" s="52">
        <v>31</v>
      </c>
      <c r="D14" s="51">
        <v>0</v>
      </c>
      <c r="E14" s="51">
        <v>4</v>
      </c>
      <c r="F14" s="51">
        <v>0</v>
      </c>
      <c r="G14" s="51">
        <f t="shared" si="0"/>
        <v>4</v>
      </c>
      <c r="H14" s="51">
        <f t="shared" si="1"/>
        <v>4</v>
      </c>
      <c r="I14" s="51">
        <f aca="true" t="shared" si="2" ref="I14:I22">C14-H14</f>
        <v>27</v>
      </c>
      <c r="J14" s="51">
        <v>27</v>
      </c>
      <c r="K14" s="51"/>
    </row>
    <row r="15" spans="1:11" ht="16.5" customHeight="1">
      <c r="A15" s="57">
        <v>5</v>
      </c>
      <c r="B15" s="58" t="s">
        <v>649</v>
      </c>
      <c r="C15" s="52">
        <v>31</v>
      </c>
      <c r="D15" s="51">
        <v>0</v>
      </c>
      <c r="E15" s="51">
        <v>4</v>
      </c>
      <c r="F15" s="51">
        <v>3</v>
      </c>
      <c r="G15" s="51">
        <f t="shared" si="0"/>
        <v>7</v>
      </c>
      <c r="H15" s="51">
        <f t="shared" si="1"/>
        <v>7</v>
      </c>
      <c r="I15" s="51">
        <f t="shared" si="2"/>
        <v>24</v>
      </c>
      <c r="J15" s="51">
        <v>24</v>
      </c>
      <c r="K15" s="51"/>
    </row>
    <row r="16" spans="1:11" s="56" customFormat="1" ht="16.5" customHeight="1">
      <c r="A16" s="57">
        <v>6</v>
      </c>
      <c r="B16" s="58" t="s">
        <v>650</v>
      </c>
      <c r="C16" s="57">
        <v>30</v>
      </c>
      <c r="D16" s="58">
        <v>0</v>
      </c>
      <c r="E16" s="58">
        <v>5</v>
      </c>
      <c r="F16" s="58">
        <v>1</v>
      </c>
      <c r="G16" s="51">
        <f t="shared" si="0"/>
        <v>6</v>
      </c>
      <c r="H16" s="51">
        <f t="shared" si="1"/>
        <v>6</v>
      </c>
      <c r="I16" s="51">
        <f t="shared" si="2"/>
        <v>24</v>
      </c>
      <c r="J16" s="58">
        <v>24</v>
      </c>
      <c r="K16" s="58"/>
    </row>
    <row r="17" spans="1:11" s="56" customFormat="1" ht="16.5" customHeight="1">
      <c r="A17" s="57">
        <v>7</v>
      </c>
      <c r="B17" s="58" t="s">
        <v>651</v>
      </c>
      <c r="C17" s="57">
        <v>31</v>
      </c>
      <c r="D17" s="58">
        <v>7</v>
      </c>
      <c r="E17" s="58">
        <v>3</v>
      </c>
      <c r="F17" s="58">
        <v>2</v>
      </c>
      <c r="G17" s="51">
        <f t="shared" si="0"/>
        <v>5</v>
      </c>
      <c r="H17" s="51">
        <f t="shared" si="1"/>
        <v>12</v>
      </c>
      <c r="I17" s="51">
        <f t="shared" si="2"/>
        <v>19</v>
      </c>
      <c r="J17" s="58">
        <v>19</v>
      </c>
      <c r="K17" s="58"/>
    </row>
    <row r="18" spans="1:11" s="56" customFormat="1" ht="16.5" customHeight="1">
      <c r="A18" s="57">
        <v>8</v>
      </c>
      <c r="B18" s="58" t="s">
        <v>652</v>
      </c>
      <c r="C18" s="57">
        <v>30</v>
      </c>
      <c r="D18" s="58">
        <v>0</v>
      </c>
      <c r="E18" s="58">
        <v>4</v>
      </c>
      <c r="F18" s="58">
        <v>1</v>
      </c>
      <c r="G18" s="51">
        <f t="shared" si="0"/>
        <v>5</v>
      </c>
      <c r="H18" s="51">
        <f t="shared" si="1"/>
        <v>5</v>
      </c>
      <c r="I18" s="51">
        <f t="shared" si="2"/>
        <v>25</v>
      </c>
      <c r="J18" s="58">
        <v>25</v>
      </c>
      <c r="K18" s="58"/>
    </row>
    <row r="19" spans="1:11" s="56" customFormat="1" ht="16.5" customHeight="1">
      <c r="A19" s="57">
        <v>9</v>
      </c>
      <c r="B19" s="58" t="s">
        <v>653</v>
      </c>
      <c r="C19" s="57">
        <v>31</v>
      </c>
      <c r="D19" s="58">
        <v>4</v>
      </c>
      <c r="E19" s="58">
        <v>4</v>
      </c>
      <c r="F19" s="58">
        <v>1</v>
      </c>
      <c r="G19" s="51">
        <f t="shared" si="0"/>
        <v>5</v>
      </c>
      <c r="H19" s="51">
        <f t="shared" si="1"/>
        <v>9</v>
      </c>
      <c r="I19" s="51">
        <f t="shared" si="2"/>
        <v>22</v>
      </c>
      <c r="J19" s="58">
        <v>22</v>
      </c>
      <c r="K19" s="58"/>
    </row>
    <row r="20" spans="1:11" s="56" customFormat="1" ht="16.5" customHeight="1">
      <c r="A20" s="57">
        <v>10</v>
      </c>
      <c r="B20" s="58" t="s">
        <v>654</v>
      </c>
      <c r="C20" s="57">
        <v>31</v>
      </c>
      <c r="D20" s="58">
        <v>0</v>
      </c>
      <c r="E20" s="58">
        <v>4</v>
      </c>
      <c r="F20" s="58">
        <v>2</v>
      </c>
      <c r="G20" s="51">
        <f t="shared" si="0"/>
        <v>6</v>
      </c>
      <c r="H20" s="51">
        <f t="shared" si="1"/>
        <v>6</v>
      </c>
      <c r="I20" s="51">
        <f t="shared" si="2"/>
        <v>25</v>
      </c>
      <c r="J20" s="58">
        <v>25</v>
      </c>
      <c r="K20" s="58"/>
    </row>
    <row r="21" spans="1:11" s="56" customFormat="1" ht="16.5" customHeight="1">
      <c r="A21" s="57">
        <v>11</v>
      </c>
      <c r="B21" s="58" t="s">
        <v>655</v>
      </c>
      <c r="C21" s="57">
        <v>28</v>
      </c>
      <c r="D21" s="59">
        <v>0</v>
      </c>
      <c r="E21" s="59">
        <v>4</v>
      </c>
      <c r="F21" s="59">
        <v>1</v>
      </c>
      <c r="G21" s="51">
        <f t="shared" si="0"/>
        <v>5</v>
      </c>
      <c r="H21" s="51">
        <f t="shared" si="1"/>
        <v>5</v>
      </c>
      <c r="I21" s="51">
        <f t="shared" si="2"/>
        <v>23</v>
      </c>
      <c r="J21" s="59">
        <v>23</v>
      </c>
      <c r="K21" s="58"/>
    </row>
    <row r="22" spans="1:11" s="56" customFormat="1" ht="16.5" customHeight="1">
      <c r="A22" s="57">
        <v>12</v>
      </c>
      <c r="B22" s="58" t="s">
        <v>656</v>
      </c>
      <c r="C22" s="57">
        <v>31</v>
      </c>
      <c r="D22" s="59">
        <v>0</v>
      </c>
      <c r="E22" s="59">
        <v>5</v>
      </c>
      <c r="F22" s="59">
        <v>2</v>
      </c>
      <c r="G22" s="51">
        <f t="shared" si="0"/>
        <v>7</v>
      </c>
      <c r="H22" s="51">
        <f t="shared" si="1"/>
        <v>7</v>
      </c>
      <c r="I22" s="51">
        <f t="shared" si="2"/>
        <v>24</v>
      </c>
      <c r="J22" s="59">
        <v>24</v>
      </c>
      <c r="K22" s="58"/>
    </row>
    <row r="23" spans="1:11" s="56" customFormat="1" ht="16.5" customHeight="1">
      <c r="A23" s="58"/>
      <c r="B23" s="60" t="s">
        <v>19</v>
      </c>
      <c r="C23" s="57">
        <f aca="true" t="shared" si="3" ref="C23:J23">SUM(C11:C22)</f>
        <v>365</v>
      </c>
      <c r="D23" s="58">
        <f t="shared" si="3"/>
        <v>57</v>
      </c>
      <c r="E23" s="58">
        <f t="shared" si="3"/>
        <v>44</v>
      </c>
      <c r="F23" s="58">
        <f t="shared" si="3"/>
        <v>17</v>
      </c>
      <c r="G23" s="58">
        <f t="shared" si="3"/>
        <v>61</v>
      </c>
      <c r="H23" s="58">
        <f t="shared" si="3"/>
        <v>118</v>
      </c>
      <c r="I23" s="58">
        <f t="shared" si="3"/>
        <v>247</v>
      </c>
      <c r="J23" s="58">
        <f t="shared" si="3"/>
        <v>247</v>
      </c>
      <c r="K23" s="58"/>
    </row>
    <row r="24" spans="1:10" s="56" customFormat="1" ht="11.25" customHeight="1">
      <c r="A24" s="61"/>
      <c r="B24" s="62"/>
      <c r="C24" s="63"/>
      <c r="D24" s="61"/>
      <c r="E24" s="61"/>
      <c r="F24" s="61"/>
      <c r="G24" s="61"/>
      <c r="H24" s="61"/>
      <c r="I24" s="61"/>
      <c r="J24" s="61"/>
    </row>
    <row r="25" spans="1:10" ht="15">
      <c r="A25" s="53" t="s">
        <v>107</v>
      </c>
      <c r="B25" s="53"/>
      <c r="C25" s="53"/>
      <c r="D25" s="53"/>
      <c r="E25" s="53"/>
      <c r="F25" s="53"/>
      <c r="G25" s="53"/>
      <c r="H25" s="53"/>
      <c r="I25" s="53"/>
      <c r="J25" s="53"/>
    </row>
    <row r="26" spans="1:10" ht="15">
      <c r="A26" s="53"/>
      <c r="B26" s="53"/>
      <c r="C26" s="53"/>
      <c r="D26" s="53"/>
      <c r="E26" s="53"/>
      <c r="F26" s="53"/>
      <c r="G26" s="53"/>
      <c r="H26" s="53"/>
      <c r="I26" s="53"/>
      <c r="J26" s="53"/>
    </row>
    <row r="27" spans="1:10" ht="36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ht="14.25">
      <c r="D28" s="48" t="s">
        <v>11</v>
      </c>
    </row>
    <row r="29" spans="1:11" ht="15">
      <c r="A29" s="53" t="s">
        <v>12</v>
      </c>
      <c r="B29" s="53"/>
      <c r="C29" s="53"/>
      <c r="D29" s="53"/>
      <c r="E29" s="53"/>
      <c r="F29" s="14"/>
      <c r="G29" s="14"/>
      <c r="H29" s="881" t="s">
        <v>13</v>
      </c>
      <c r="I29" s="881"/>
      <c r="J29" s="83"/>
      <c r="K29" s="14"/>
    </row>
    <row r="30" spans="1:11" ht="15" customHeight="1">
      <c r="A30" s="364"/>
      <c r="B30" s="364"/>
      <c r="C30" s="364"/>
      <c r="D30" s="364"/>
      <c r="E30" s="364"/>
      <c r="F30" s="83"/>
      <c r="G30" s="881" t="s">
        <v>14</v>
      </c>
      <c r="H30" s="881"/>
      <c r="I30" s="881"/>
      <c r="J30" s="881"/>
      <c r="K30" s="83"/>
    </row>
    <row r="31" spans="1:11" ht="15" customHeight="1">
      <c r="A31" s="364"/>
      <c r="B31" s="364"/>
      <c r="C31" s="364"/>
      <c r="D31" s="364"/>
      <c r="E31" s="364"/>
      <c r="F31" s="881" t="s">
        <v>637</v>
      </c>
      <c r="G31" s="881"/>
      <c r="H31" s="881"/>
      <c r="I31" s="881"/>
      <c r="J31" s="881"/>
      <c r="K31" s="881"/>
    </row>
    <row r="32" spans="1:11" ht="15">
      <c r="A32" s="53"/>
      <c r="B32" s="53"/>
      <c r="C32" s="53"/>
      <c r="D32" s="53"/>
      <c r="E32" s="53"/>
      <c r="F32" s="14"/>
      <c r="G32" s="14"/>
      <c r="H32" s="1" t="s">
        <v>84</v>
      </c>
      <c r="I32" s="1"/>
      <c r="J32" s="1"/>
      <c r="K32" s="1"/>
    </row>
  </sheetData>
  <sheetProtection/>
  <mergeCells count="17">
    <mergeCell ref="E8:G8"/>
    <mergeCell ref="I7:I9"/>
    <mergeCell ref="H29:I29"/>
    <mergeCell ref="G30:J30"/>
    <mergeCell ref="F31:K31"/>
    <mergeCell ref="K7:K9"/>
    <mergeCell ref="H8:H9"/>
    <mergeCell ref="C1:H1"/>
    <mergeCell ref="A2:J2"/>
    <mergeCell ref="A3:J3"/>
    <mergeCell ref="A5:J5"/>
    <mergeCell ref="A7:A9"/>
    <mergeCell ref="B7:B9"/>
    <mergeCell ref="C7:C9"/>
    <mergeCell ref="D7:H7"/>
    <mergeCell ref="J7:J9"/>
    <mergeCell ref="D8:D9"/>
  </mergeCells>
  <printOptions horizontalCentered="1"/>
  <pageMargins left="0.7086614173228347" right="0.7086614173228347" top="0.79" bottom="0" header="1.01" footer="0.31496062992125984"/>
  <pageSetup fitToHeight="1" fitToWidth="1" horizontalDpi="600" verticalDpi="600" orientation="landscape" paperSize="9" scale="87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U50"/>
  <sheetViews>
    <sheetView view="pageBreakPreview" zoomScaleNormal="70" zoomScaleSheetLayoutView="100" zoomScalePageLayoutView="0" workbookViewId="0" topLeftCell="B1">
      <selection activeCell="R18" sqref="R18"/>
    </sheetView>
  </sheetViews>
  <sheetFormatPr defaultColWidth="9.140625" defaultRowHeight="12.75"/>
  <cols>
    <col min="1" max="1" width="5.57421875" style="233" customWidth="1"/>
    <col min="2" max="2" width="8.8515625" style="233" customWidth="1"/>
    <col min="3" max="3" width="10.28125" style="233" customWidth="1"/>
    <col min="4" max="4" width="8.421875" style="233" customWidth="1"/>
    <col min="5" max="6" width="9.8515625" style="233" customWidth="1"/>
    <col min="7" max="7" width="10.8515625" style="233" customWidth="1"/>
    <col min="8" max="8" width="12.8515625" style="233" customWidth="1"/>
    <col min="9" max="9" width="8.7109375" style="218" customWidth="1"/>
    <col min="10" max="10" width="8.8515625" style="218" customWidth="1"/>
    <col min="11" max="11" width="8.00390625" style="218" customWidth="1"/>
    <col min="12" max="14" width="8.140625" style="218" customWidth="1"/>
    <col min="15" max="15" width="8.421875" style="218" customWidth="1"/>
    <col min="16" max="16" width="8.140625" style="218" customWidth="1"/>
    <col min="17" max="18" width="8.8515625" style="218" customWidth="1"/>
    <col min="19" max="19" width="10.7109375" style="218" customWidth="1"/>
    <col min="20" max="20" width="14.140625" style="218" customWidth="1"/>
    <col min="21" max="21" width="9.140625" style="233" customWidth="1"/>
    <col min="22" max="16384" width="9.140625" style="218" customWidth="1"/>
  </cols>
  <sheetData>
    <row r="1" spans="7:20" ht="12.75" customHeight="1">
      <c r="G1" s="854"/>
      <c r="H1" s="854"/>
      <c r="I1" s="854"/>
      <c r="J1" s="233"/>
      <c r="K1" s="233"/>
      <c r="L1" s="233"/>
      <c r="M1" s="233"/>
      <c r="N1" s="233"/>
      <c r="O1" s="233"/>
      <c r="P1" s="233"/>
      <c r="Q1" s="1159" t="s">
        <v>766</v>
      </c>
      <c r="R1" s="1159"/>
      <c r="S1" s="1159"/>
      <c r="T1" s="1159"/>
    </row>
    <row r="2" spans="1:20" ht="15.75">
      <c r="A2" s="1160" t="s">
        <v>0</v>
      </c>
      <c r="B2" s="1160"/>
      <c r="C2" s="1160"/>
      <c r="D2" s="1160"/>
      <c r="E2" s="1160"/>
      <c r="F2" s="1160"/>
      <c r="G2" s="1160"/>
      <c r="H2" s="1160"/>
      <c r="I2" s="1160"/>
      <c r="J2" s="1160"/>
      <c r="K2" s="1160"/>
      <c r="L2" s="1160"/>
      <c r="M2" s="1160"/>
      <c r="N2" s="1160"/>
      <c r="O2" s="1160"/>
      <c r="P2" s="1160"/>
      <c r="Q2" s="1160"/>
      <c r="R2" s="1160"/>
      <c r="S2" s="1160"/>
      <c r="T2" s="1160"/>
    </row>
    <row r="3" spans="1:20" ht="18">
      <c r="A3" s="1161" t="s">
        <v>859</v>
      </c>
      <c r="B3" s="1161"/>
      <c r="C3" s="1161"/>
      <c r="D3" s="1161"/>
      <c r="E3" s="1161"/>
      <c r="F3" s="1161"/>
      <c r="G3" s="1161"/>
      <c r="H3" s="1161"/>
      <c r="I3" s="1161"/>
      <c r="J3" s="1161"/>
      <c r="K3" s="1161"/>
      <c r="L3" s="1161"/>
      <c r="M3" s="1161"/>
      <c r="N3" s="1161"/>
      <c r="O3" s="1161"/>
      <c r="P3" s="1161"/>
      <c r="Q3" s="1161"/>
      <c r="R3" s="1161"/>
      <c r="S3" s="1161"/>
      <c r="T3" s="1161"/>
    </row>
    <row r="4" spans="1:20" ht="12.75" customHeight="1">
      <c r="A4" s="1162" t="s">
        <v>1066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</row>
    <row r="5" spans="1:21" s="219" customFormat="1" ht="7.5" customHeight="1">
      <c r="A5" s="1162"/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2"/>
      <c r="P5" s="1162"/>
      <c r="Q5" s="1162"/>
      <c r="R5" s="1162"/>
      <c r="S5" s="1162"/>
      <c r="T5" s="1162"/>
      <c r="U5" s="245"/>
    </row>
    <row r="6" spans="1:20" ht="12.75">
      <c r="A6" s="1158"/>
      <c r="B6" s="1158"/>
      <c r="C6" s="1158"/>
      <c r="D6" s="1158"/>
      <c r="E6" s="1158"/>
      <c r="F6" s="1158"/>
      <c r="G6" s="1158"/>
      <c r="H6" s="1158"/>
      <c r="I6" s="1158"/>
      <c r="J6" s="1158"/>
      <c r="K6" s="1158"/>
      <c r="L6" s="1158"/>
      <c r="M6" s="1158"/>
      <c r="N6" s="1158"/>
      <c r="O6" s="1158"/>
      <c r="P6" s="1158"/>
      <c r="Q6" s="1158"/>
      <c r="R6" s="1158"/>
      <c r="S6" s="1158"/>
      <c r="T6" s="1158"/>
    </row>
    <row r="7" spans="1:20" ht="12.75">
      <c r="A7" s="1163" t="s">
        <v>176</v>
      </c>
      <c r="B7" s="1163"/>
      <c r="H7" s="841"/>
      <c r="I7" s="233"/>
      <c r="J7" s="233"/>
      <c r="K7" s="233"/>
      <c r="L7" s="1164"/>
      <c r="M7" s="1164"/>
      <c r="N7" s="1164"/>
      <c r="O7" s="1164"/>
      <c r="P7" s="1164"/>
      <c r="Q7" s="1164"/>
      <c r="R7" s="1164"/>
      <c r="S7" s="1164"/>
      <c r="T7" s="1164"/>
    </row>
    <row r="8" spans="1:20" ht="23.25" customHeight="1">
      <c r="A8" s="1165" t="s">
        <v>2</v>
      </c>
      <c r="B8" s="1165" t="s">
        <v>3</v>
      </c>
      <c r="C8" s="1166" t="s">
        <v>490</v>
      </c>
      <c r="D8" s="1167"/>
      <c r="E8" s="1167"/>
      <c r="F8" s="1167"/>
      <c r="G8" s="1168"/>
      <c r="H8" s="1169" t="s">
        <v>85</v>
      </c>
      <c r="I8" s="1166" t="s">
        <v>86</v>
      </c>
      <c r="J8" s="1167"/>
      <c r="K8" s="1167"/>
      <c r="L8" s="1168"/>
      <c r="M8" s="1165" t="s">
        <v>1067</v>
      </c>
      <c r="N8" s="1165"/>
      <c r="O8" s="1165"/>
      <c r="P8" s="1165"/>
      <c r="Q8" s="1165"/>
      <c r="R8" s="1165"/>
      <c r="S8" s="1171" t="s">
        <v>1068</v>
      </c>
      <c r="T8" s="1171"/>
    </row>
    <row r="9" spans="1:20" ht="44.25" customHeight="1">
      <c r="A9" s="1165"/>
      <c r="B9" s="1165"/>
      <c r="C9" s="842" t="s">
        <v>5</v>
      </c>
      <c r="D9" s="842" t="s">
        <v>6</v>
      </c>
      <c r="E9" s="842" t="s">
        <v>353</v>
      </c>
      <c r="F9" s="843" t="s">
        <v>101</v>
      </c>
      <c r="G9" s="843" t="s">
        <v>246</v>
      </c>
      <c r="H9" s="1170"/>
      <c r="I9" s="842" t="s">
        <v>90</v>
      </c>
      <c r="J9" s="842" t="s">
        <v>21</v>
      </c>
      <c r="K9" s="842" t="s">
        <v>42</v>
      </c>
      <c r="L9" s="842" t="s">
        <v>441</v>
      </c>
      <c r="M9" s="842" t="s">
        <v>19</v>
      </c>
      <c r="N9" s="842" t="s">
        <v>1077</v>
      </c>
      <c r="O9" s="842" t="s">
        <v>1069</v>
      </c>
      <c r="P9" s="842" t="s">
        <v>1070</v>
      </c>
      <c r="Q9" s="842" t="s">
        <v>1071</v>
      </c>
      <c r="R9" s="842" t="s">
        <v>1072</v>
      </c>
      <c r="S9" s="842" t="s">
        <v>1073</v>
      </c>
      <c r="T9" s="842" t="s">
        <v>1074</v>
      </c>
    </row>
    <row r="10" spans="1:21" s="220" customFormat="1" ht="12.75">
      <c r="A10" s="844">
        <v>1</v>
      </c>
      <c r="B10" s="844">
        <v>2</v>
      </c>
      <c r="C10" s="844">
        <v>3</v>
      </c>
      <c r="D10" s="844">
        <v>4</v>
      </c>
      <c r="E10" s="844">
        <v>5</v>
      </c>
      <c r="F10" s="844">
        <v>6</v>
      </c>
      <c r="G10" s="844">
        <v>7</v>
      </c>
      <c r="H10" s="844">
        <v>8</v>
      </c>
      <c r="I10" s="844">
        <v>9</v>
      </c>
      <c r="J10" s="844">
        <v>10</v>
      </c>
      <c r="K10" s="844">
        <v>11</v>
      </c>
      <c r="L10" s="844">
        <v>12</v>
      </c>
      <c r="M10" s="844">
        <v>13</v>
      </c>
      <c r="N10" s="844">
        <v>14</v>
      </c>
      <c r="O10" s="844">
        <v>15</v>
      </c>
      <c r="P10" s="844">
        <v>16</v>
      </c>
      <c r="Q10" s="844">
        <v>17</v>
      </c>
      <c r="R10" s="844">
        <v>18</v>
      </c>
      <c r="S10" s="844">
        <v>19</v>
      </c>
      <c r="T10" s="844">
        <v>20</v>
      </c>
      <c r="U10" s="240"/>
    </row>
    <row r="11" spans="1:21" s="220" customFormat="1" ht="12.75">
      <c r="A11" s="262">
        <v>1</v>
      </c>
      <c r="B11" s="195" t="s">
        <v>841</v>
      </c>
      <c r="C11" s="335">
        <v>56668</v>
      </c>
      <c r="D11" s="335">
        <v>691</v>
      </c>
      <c r="E11" s="335">
        <v>0</v>
      </c>
      <c r="F11" s="335">
        <v>466</v>
      </c>
      <c r="G11" s="333">
        <f aca="true" t="shared" si="0" ref="G11:G37">SUM(C11:F11)</f>
        <v>57825</v>
      </c>
      <c r="H11" s="847">
        <v>240</v>
      </c>
      <c r="I11" s="337">
        <f>G11*H11*100/1000000</f>
        <v>1387.8</v>
      </c>
      <c r="J11" s="337">
        <f>I11</f>
        <v>1387.8</v>
      </c>
      <c r="K11" s="844">
        <v>0</v>
      </c>
      <c r="L11" s="844">
        <v>0</v>
      </c>
      <c r="M11" s="848">
        <f>N11</f>
        <v>277.56</v>
      </c>
      <c r="N11" s="849">
        <f>G11*H11*20/1000000</f>
        <v>277.56</v>
      </c>
      <c r="O11" s="844"/>
      <c r="P11" s="844"/>
      <c r="Q11" s="844"/>
      <c r="R11" s="844"/>
      <c r="S11" s="848">
        <v>143.5</v>
      </c>
      <c r="T11" s="849">
        <f>I11*S11*10/100000</f>
        <v>19.91493</v>
      </c>
      <c r="U11" s="240"/>
    </row>
    <row r="12" spans="1:21" s="220" customFormat="1" ht="12.75">
      <c r="A12" s="260">
        <v>2</v>
      </c>
      <c r="B12" s="195" t="s">
        <v>833</v>
      </c>
      <c r="C12" s="335">
        <v>64076</v>
      </c>
      <c r="D12" s="335">
        <v>1847</v>
      </c>
      <c r="E12" s="335">
        <v>0</v>
      </c>
      <c r="F12" s="335">
        <v>1445</v>
      </c>
      <c r="G12" s="333">
        <f t="shared" si="0"/>
        <v>67368</v>
      </c>
      <c r="H12" s="847">
        <v>240</v>
      </c>
      <c r="I12" s="337">
        <f aca="true" t="shared" si="1" ref="I12:I37">G12*H12*100/1000000</f>
        <v>1616.832</v>
      </c>
      <c r="J12" s="337">
        <f aca="true" t="shared" si="2" ref="J12:J37">I12</f>
        <v>1616.832</v>
      </c>
      <c r="K12" s="844">
        <v>0</v>
      </c>
      <c r="L12" s="844">
        <v>0</v>
      </c>
      <c r="M12" s="848">
        <f aca="true" t="shared" si="3" ref="M12:M37">N12</f>
        <v>323.3664</v>
      </c>
      <c r="N12" s="849">
        <f aca="true" t="shared" si="4" ref="N12:N37">G12*H12*20/1000000</f>
        <v>323.3664</v>
      </c>
      <c r="O12" s="844"/>
      <c r="P12" s="844"/>
      <c r="Q12" s="844"/>
      <c r="R12" s="844"/>
      <c r="S12" s="848">
        <v>143.5</v>
      </c>
      <c r="T12" s="849">
        <f aca="true" t="shared" si="5" ref="T12:T37">I12*S12*10/100000</f>
        <v>23.201539200000003</v>
      </c>
      <c r="U12" s="240"/>
    </row>
    <row r="13" spans="1:21" s="220" customFormat="1" ht="12.75">
      <c r="A13" s="260">
        <v>3</v>
      </c>
      <c r="B13" s="195" t="s">
        <v>839</v>
      </c>
      <c r="C13" s="335">
        <v>51190</v>
      </c>
      <c r="D13" s="335">
        <v>2144</v>
      </c>
      <c r="E13" s="335">
        <v>0</v>
      </c>
      <c r="F13" s="335">
        <v>1323</v>
      </c>
      <c r="G13" s="333">
        <f t="shared" si="0"/>
        <v>54657</v>
      </c>
      <c r="H13" s="847">
        <v>240</v>
      </c>
      <c r="I13" s="337">
        <f t="shared" si="1"/>
        <v>1311.768</v>
      </c>
      <c r="J13" s="337">
        <f t="shared" si="2"/>
        <v>1311.768</v>
      </c>
      <c r="K13" s="844">
        <v>0</v>
      </c>
      <c r="L13" s="844">
        <v>0</v>
      </c>
      <c r="M13" s="848">
        <f t="shared" si="3"/>
        <v>262.3536</v>
      </c>
      <c r="N13" s="849">
        <f t="shared" si="4"/>
        <v>262.3536</v>
      </c>
      <c r="O13" s="844"/>
      <c r="P13" s="844"/>
      <c r="Q13" s="844"/>
      <c r="R13" s="844"/>
      <c r="S13" s="848">
        <v>143.5</v>
      </c>
      <c r="T13" s="849">
        <f t="shared" si="5"/>
        <v>18.8238708</v>
      </c>
      <c r="U13" s="240"/>
    </row>
    <row r="14" spans="1:21" s="220" customFormat="1" ht="12.75">
      <c r="A14" s="260">
        <v>4</v>
      </c>
      <c r="B14" s="195" t="s">
        <v>743</v>
      </c>
      <c r="C14" s="335">
        <v>130933</v>
      </c>
      <c r="D14" s="335">
        <v>4025</v>
      </c>
      <c r="E14" s="335">
        <v>0</v>
      </c>
      <c r="F14" s="335">
        <v>642</v>
      </c>
      <c r="G14" s="333">
        <f t="shared" si="0"/>
        <v>135600</v>
      </c>
      <c r="H14" s="847">
        <v>240</v>
      </c>
      <c r="I14" s="337">
        <f t="shared" si="1"/>
        <v>3254.4</v>
      </c>
      <c r="J14" s="337">
        <f t="shared" si="2"/>
        <v>3254.4</v>
      </c>
      <c r="K14" s="844">
        <v>0</v>
      </c>
      <c r="L14" s="844">
        <v>0</v>
      </c>
      <c r="M14" s="848">
        <f t="shared" si="3"/>
        <v>650.88</v>
      </c>
      <c r="N14" s="849">
        <f t="shared" si="4"/>
        <v>650.88</v>
      </c>
      <c r="O14" s="844"/>
      <c r="P14" s="844"/>
      <c r="Q14" s="844"/>
      <c r="R14" s="844"/>
      <c r="S14" s="848">
        <v>143.5</v>
      </c>
      <c r="T14" s="849">
        <f t="shared" si="5"/>
        <v>46.70064</v>
      </c>
      <c r="U14" s="240"/>
    </row>
    <row r="15" spans="1:21" s="220" customFormat="1" ht="12.75">
      <c r="A15" s="260">
        <v>5</v>
      </c>
      <c r="B15" s="195" t="s">
        <v>748</v>
      </c>
      <c r="C15" s="335">
        <v>77164</v>
      </c>
      <c r="D15" s="335">
        <v>825</v>
      </c>
      <c r="E15" s="335">
        <v>0</v>
      </c>
      <c r="F15" s="335">
        <v>366</v>
      </c>
      <c r="G15" s="333">
        <f t="shared" si="0"/>
        <v>78355</v>
      </c>
      <c r="H15" s="847">
        <v>240</v>
      </c>
      <c r="I15" s="337">
        <f t="shared" si="1"/>
        <v>1880.52</v>
      </c>
      <c r="J15" s="337">
        <f t="shared" si="2"/>
        <v>1880.52</v>
      </c>
      <c r="K15" s="844">
        <v>0</v>
      </c>
      <c r="L15" s="844">
        <v>0</v>
      </c>
      <c r="M15" s="848">
        <f t="shared" si="3"/>
        <v>376.104</v>
      </c>
      <c r="N15" s="849">
        <f t="shared" si="4"/>
        <v>376.104</v>
      </c>
      <c r="O15" s="844"/>
      <c r="P15" s="844"/>
      <c r="Q15" s="844"/>
      <c r="R15" s="844"/>
      <c r="S15" s="848">
        <v>143.5</v>
      </c>
      <c r="T15" s="849">
        <f t="shared" si="5"/>
        <v>26.985462000000002</v>
      </c>
      <c r="U15" s="240"/>
    </row>
    <row r="16" spans="1:21" s="220" customFormat="1" ht="12.75">
      <c r="A16" s="260">
        <v>6</v>
      </c>
      <c r="B16" s="195" t="s">
        <v>747</v>
      </c>
      <c r="C16" s="335">
        <v>103129</v>
      </c>
      <c r="D16" s="335">
        <v>392</v>
      </c>
      <c r="E16" s="335">
        <v>0</v>
      </c>
      <c r="F16" s="335">
        <v>275</v>
      </c>
      <c r="G16" s="333">
        <f t="shared" si="0"/>
        <v>103796</v>
      </c>
      <c r="H16" s="847">
        <v>240</v>
      </c>
      <c r="I16" s="337">
        <f t="shared" si="1"/>
        <v>2491.104</v>
      </c>
      <c r="J16" s="337">
        <f t="shared" si="2"/>
        <v>2491.104</v>
      </c>
      <c r="K16" s="844">
        <v>0</v>
      </c>
      <c r="L16" s="844">
        <v>0</v>
      </c>
      <c r="M16" s="848">
        <f t="shared" si="3"/>
        <v>498.2208</v>
      </c>
      <c r="N16" s="849">
        <f t="shared" si="4"/>
        <v>498.2208</v>
      </c>
      <c r="O16" s="844"/>
      <c r="P16" s="844"/>
      <c r="Q16" s="844"/>
      <c r="R16" s="844"/>
      <c r="S16" s="848">
        <v>143.5</v>
      </c>
      <c r="T16" s="849">
        <f t="shared" si="5"/>
        <v>35.7473424</v>
      </c>
      <c r="U16" s="240"/>
    </row>
    <row r="17" spans="1:21" s="220" customFormat="1" ht="12.75">
      <c r="A17" s="260">
        <v>7</v>
      </c>
      <c r="B17" s="195" t="s">
        <v>737</v>
      </c>
      <c r="C17" s="335">
        <v>56272</v>
      </c>
      <c r="D17" s="335">
        <v>1283</v>
      </c>
      <c r="E17" s="335">
        <v>0</v>
      </c>
      <c r="F17" s="335">
        <v>601</v>
      </c>
      <c r="G17" s="333">
        <f t="shared" si="0"/>
        <v>58156</v>
      </c>
      <c r="H17" s="847">
        <v>240</v>
      </c>
      <c r="I17" s="337">
        <f t="shared" si="1"/>
        <v>1395.744</v>
      </c>
      <c r="J17" s="337">
        <f t="shared" si="2"/>
        <v>1395.744</v>
      </c>
      <c r="K17" s="844">
        <v>0</v>
      </c>
      <c r="L17" s="844">
        <v>0</v>
      </c>
      <c r="M17" s="848">
        <f t="shared" si="3"/>
        <v>279.1488</v>
      </c>
      <c r="N17" s="849">
        <f t="shared" si="4"/>
        <v>279.1488</v>
      </c>
      <c r="O17" s="844"/>
      <c r="P17" s="844"/>
      <c r="Q17" s="844"/>
      <c r="R17" s="844"/>
      <c r="S17" s="848">
        <v>143.5</v>
      </c>
      <c r="T17" s="849">
        <f t="shared" si="5"/>
        <v>20.0289264</v>
      </c>
      <c r="U17" s="240"/>
    </row>
    <row r="18" spans="1:21" s="220" customFormat="1" ht="12.75">
      <c r="A18" s="260">
        <v>8</v>
      </c>
      <c r="B18" s="195" t="s">
        <v>749</v>
      </c>
      <c r="C18" s="335">
        <v>88455</v>
      </c>
      <c r="D18" s="335">
        <v>2394</v>
      </c>
      <c r="E18" s="335">
        <v>0</v>
      </c>
      <c r="F18" s="335">
        <v>3483</v>
      </c>
      <c r="G18" s="333">
        <f t="shared" si="0"/>
        <v>94332</v>
      </c>
      <c r="H18" s="847">
        <v>240</v>
      </c>
      <c r="I18" s="337">
        <f t="shared" si="1"/>
        <v>2263.968</v>
      </c>
      <c r="J18" s="337">
        <f t="shared" si="2"/>
        <v>2263.968</v>
      </c>
      <c r="K18" s="844">
        <v>0</v>
      </c>
      <c r="L18" s="844">
        <v>0</v>
      </c>
      <c r="M18" s="848">
        <f t="shared" si="3"/>
        <v>452.7936</v>
      </c>
      <c r="N18" s="849">
        <f t="shared" si="4"/>
        <v>452.7936</v>
      </c>
      <c r="O18" s="844"/>
      <c r="P18" s="844"/>
      <c r="Q18" s="844"/>
      <c r="R18" s="844"/>
      <c r="S18" s="848">
        <v>143.5</v>
      </c>
      <c r="T18" s="849">
        <f t="shared" si="5"/>
        <v>32.487940800000004</v>
      </c>
      <c r="U18" s="240"/>
    </row>
    <row r="19" spans="1:21" s="220" customFormat="1" ht="12.75">
      <c r="A19" s="260">
        <v>9</v>
      </c>
      <c r="B19" s="195" t="s">
        <v>834</v>
      </c>
      <c r="C19" s="335">
        <v>61862</v>
      </c>
      <c r="D19" s="335">
        <v>1119</v>
      </c>
      <c r="E19" s="335">
        <v>38</v>
      </c>
      <c r="F19" s="335">
        <v>342</v>
      </c>
      <c r="G19" s="333">
        <f t="shared" si="0"/>
        <v>63361</v>
      </c>
      <c r="H19" s="847">
        <v>240</v>
      </c>
      <c r="I19" s="337">
        <f t="shared" si="1"/>
        <v>1520.664</v>
      </c>
      <c r="J19" s="337">
        <f t="shared" si="2"/>
        <v>1520.664</v>
      </c>
      <c r="K19" s="844">
        <v>0</v>
      </c>
      <c r="L19" s="844">
        <v>0</v>
      </c>
      <c r="M19" s="848">
        <f t="shared" si="3"/>
        <v>304.1328</v>
      </c>
      <c r="N19" s="849">
        <f t="shared" si="4"/>
        <v>304.1328</v>
      </c>
      <c r="O19" s="844"/>
      <c r="P19" s="844"/>
      <c r="Q19" s="844"/>
      <c r="R19" s="844"/>
      <c r="S19" s="848">
        <v>143.5</v>
      </c>
      <c r="T19" s="849">
        <f t="shared" si="5"/>
        <v>21.8215284</v>
      </c>
      <c r="U19" s="240"/>
    </row>
    <row r="20" spans="1:21" s="220" customFormat="1" ht="12.75">
      <c r="A20" s="260">
        <v>10</v>
      </c>
      <c r="B20" s="195" t="s">
        <v>739</v>
      </c>
      <c r="C20" s="335">
        <v>13689</v>
      </c>
      <c r="D20" s="335">
        <v>1167</v>
      </c>
      <c r="E20" s="335">
        <v>12</v>
      </c>
      <c r="F20" s="335">
        <v>0</v>
      </c>
      <c r="G20" s="333">
        <f t="shared" si="0"/>
        <v>14868</v>
      </c>
      <c r="H20" s="847">
        <v>240</v>
      </c>
      <c r="I20" s="337">
        <f t="shared" si="1"/>
        <v>356.832</v>
      </c>
      <c r="J20" s="337">
        <f t="shared" si="2"/>
        <v>356.832</v>
      </c>
      <c r="K20" s="844">
        <v>0</v>
      </c>
      <c r="L20" s="844">
        <v>0</v>
      </c>
      <c r="M20" s="848">
        <f t="shared" si="3"/>
        <v>71.3664</v>
      </c>
      <c r="N20" s="849">
        <f t="shared" si="4"/>
        <v>71.3664</v>
      </c>
      <c r="O20" s="844"/>
      <c r="P20" s="844"/>
      <c r="Q20" s="844"/>
      <c r="R20" s="844"/>
      <c r="S20" s="848">
        <v>143.5</v>
      </c>
      <c r="T20" s="849">
        <f t="shared" si="5"/>
        <v>5.1205392</v>
      </c>
      <c r="U20" s="240"/>
    </row>
    <row r="21" spans="1:21" s="220" customFormat="1" ht="12.75">
      <c r="A21" s="260">
        <v>11</v>
      </c>
      <c r="B21" s="195" t="s">
        <v>840</v>
      </c>
      <c r="C21" s="335">
        <v>24405</v>
      </c>
      <c r="D21" s="335">
        <v>230</v>
      </c>
      <c r="E21" s="335">
        <v>0</v>
      </c>
      <c r="F21" s="335">
        <v>33</v>
      </c>
      <c r="G21" s="333">
        <f t="shared" si="0"/>
        <v>24668</v>
      </c>
      <c r="H21" s="847">
        <v>240</v>
      </c>
      <c r="I21" s="337">
        <f t="shared" si="1"/>
        <v>592.032</v>
      </c>
      <c r="J21" s="337">
        <f t="shared" si="2"/>
        <v>592.032</v>
      </c>
      <c r="K21" s="844">
        <v>0</v>
      </c>
      <c r="L21" s="844">
        <v>0</v>
      </c>
      <c r="M21" s="848">
        <f t="shared" si="3"/>
        <v>118.4064</v>
      </c>
      <c r="N21" s="849">
        <f t="shared" si="4"/>
        <v>118.4064</v>
      </c>
      <c r="O21" s="844"/>
      <c r="P21" s="844"/>
      <c r="Q21" s="844"/>
      <c r="R21" s="844"/>
      <c r="S21" s="848">
        <v>143.5</v>
      </c>
      <c r="T21" s="849">
        <f t="shared" si="5"/>
        <v>8.4956592</v>
      </c>
      <c r="U21" s="240"/>
    </row>
    <row r="22" spans="1:20" ht="12.75">
      <c r="A22" s="260">
        <v>12</v>
      </c>
      <c r="B22" s="195" t="s">
        <v>837</v>
      </c>
      <c r="C22" s="335">
        <v>48823</v>
      </c>
      <c r="D22" s="335">
        <v>0</v>
      </c>
      <c r="E22" s="335">
        <v>0</v>
      </c>
      <c r="F22" s="335">
        <v>120</v>
      </c>
      <c r="G22" s="333">
        <f t="shared" si="0"/>
        <v>48943</v>
      </c>
      <c r="H22" s="847">
        <v>240</v>
      </c>
      <c r="I22" s="337">
        <f t="shared" si="1"/>
        <v>1174.632</v>
      </c>
      <c r="J22" s="337">
        <f t="shared" si="2"/>
        <v>1174.632</v>
      </c>
      <c r="K22" s="844">
        <v>0</v>
      </c>
      <c r="L22" s="844">
        <v>0</v>
      </c>
      <c r="M22" s="848">
        <f t="shared" si="3"/>
        <v>234.9264</v>
      </c>
      <c r="N22" s="849">
        <f t="shared" si="4"/>
        <v>234.9264</v>
      </c>
      <c r="O22" s="236"/>
      <c r="P22" s="236"/>
      <c r="Q22" s="236"/>
      <c r="R22" s="236"/>
      <c r="S22" s="848">
        <v>143.5</v>
      </c>
      <c r="T22" s="849">
        <f t="shared" si="5"/>
        <v>16.8559692</v>
      </c>
    </row>
    <row r="23" spans="1:20" ht="12.75">
      <c r="A23" s="260">
        <v>13</v>
      </c>
      <c r="B23" s="195" t="s">
        <v>831</v>
      </c>
      <c r="C23" s="335">
        <v>48576</v>
      </c>
      <c r="D23" s="335">
        <v>429</v>
      </c>
      <c r="E23" s="335">
        <v>0</v>
      </c>
      <c r="F23" s="335">
        <v>37</v>
      </c>
      <c r="G23" s="333">
        <f t="shared" si="0"/>
        <v>49042</v>
      </c>
      <c r="H23" s="847">
        <v>240</v>
      </c>
      <c r="I23" s="337">
        <f t="shared" si="1"/>
        <v>1177.008</v>
      </c>
      <c r="J23" s="337">
        <f t="shared" si="2"/>
        <v>1177.008</v>
      </c>
      <c r="K23" s="844">
        <v>0</v>
      </c>
      <c r="L23" s="844">
        <v>0</v>
      </c>
      <c r="M23" s="848">
        <f t="shared" si="3"/>
        <v>235.4016</v>
      </c>
      <c r="N23" s="849">
        <f t="shared" si="4"/>
        <v>235.4016</v>
      </c>
      <c r="O23" s="236"/>
      <c r="P23" s="236"/>
      <c r="Q23" s="236"/>
      <c r="R23" s="236"/>
      <c r="S23" s="848">
        <v>143.5</v>
      </c>
      <c r="T23" s="849">
        <f t="shared" si="5"/>
        <v>16.8900648</v>
      </c>
    </row>
    <row r="24" spans="1:20" ht="12.75">
      <c r="A24" s="260">
        <v>14</v>
      </c>
      <c r="B24" s="195" t="s">
        <v>740</v>
      </c>
      <c r="C24" s="335">
        <v>67902</v>
      </c>
      <c r="D24" s="335">
        <v>0</v>
      </c>
      <c r="E24" s="335">
        <v>0</v>
      </c>
      <c r="F24" s="335">
        <v>45</v>
      </c>
      <c r="G24" s="333">
        <f t="shared" si="0"/>
        <v>67947</v>
      </c>
      <c r="H24" s="847">
        <v>240</v>
      </c>
      <c r="I24" s="337">
        <f t="shared" si="1"/>
        <v>1630.728</v>
      </c>
      <c r="J24" s="337">
        <f t="shared" si="2"/>
        <v>1630.728</v>
      </c>
      <c r="K24" s="844">
        <v>0</v>
      </c>
      <c r="L24" s="844">
        <v>0</v>
      </c>
      <c r="M24" s="848">
        <f t="shared" si="3"/>
        <v>326.1456</v>
      </c>
      <c r="N24" s="849">
        <f t="shared" si="4"/>
        <v>326.1456</v>
      </c>
      <c r="O24" s="236"/>
      <c r="P24" s="236"/>
      <c r="Q24" s="236"/>
      <c r="R24" s="236"/>
      <c r="S24" s="848">
        <v>143.5</v>
      </c>
      <c r="T24" s="849">
        <f t="shared" si="5"/>
        <v>23.400946800000003</v>
      </c>
    </row>
    <row r="25" spans="1:20" ht="12.75">
      <c r="A25" s="260">
        <v>15</v>
      </c>
      <c r="B25" s="195" t="s">
        <v>835</v>
      </c>
      <c r="C25" s="335">
        <v>45556</v>
      </c>
      <c r="D25" s="335">
        <v>222</v>
      </c>
      <c r="E25" s="335">
        <v>0</v>
      </c>
      <c r="F25" s="335">
        <v>0</v>
      </c>
      <c r="G25" s="333">
        <f t="shared" si="0"/>
        <v>45778</v>
      </c>
      <c r="H25" s="847">
        <v>240</v>
      </c>
      <c r="I25" s="337">
        <f t="shared" si="1"/>
        <v>1098.672</v>
      </c>
      <c r="J25" s="337">
        <f t="shared" si="2"/>
        <v>1098.672</v>
      </c>
      <c r="K25" s="844">
        <v>0</v>
      </c>
      <c r="L25" s="844">
        <v>0</v>
      </c>
      <c r="M25" s="848">
        <f t="shared" si="3"/>
        <v>219.7344</v>
      </c>
      <c r="N25" s="849">
        <f t="shared" si="4"/>
        <v>219.7344</v>
      </c>
      <c r="O25" s="236"/>
      <c r="P25" s="236"/>
      <c r="Q25" s="236"/>
      <c r="R25" s="236"/>
      <c r="S25" s="848">
        <v>143.5</v>
      </c>
      <c r="T25" s="849">
        <f t="shared" si="5"/>
        <v>15.7659432</v>
      </c>
    </row>
    <row r="26" spans="1:20" ht="12.75">
      <c r="A26" s="260">
        <v>16</v>
      </c>
      <c r="B26" s="195" t="s">
        <v>832</v>
      </c>
      <c r="C26" s="335">
        <v>103001</v>
      </c>
      <c r="D26" s="335">
        <v>341</v>
      </c>
      <c r="E26" s="335">
        <v>0</v>
      </c>
      <c r="F26" s="335">
        <v>0</v>
      </c>
      <c r="G26" s="333">
        <f t="shared" si="0"/>
        <v>103342</v>
      </c>
      <c r="H26" s="847">
        <v>240</v>
      </c>
      <c r="I26" s="337">
        <f t="shared" si="1"/>
        <v>2480.208</v>
      </c>
      <c r="J26" s="337">
        <f t="shared" si="2"/>
        <v>2480.208</v>
      </c>
      <c r="K26" s="844">
        <v>0</v>
      </c>
      <c r="L26" s="844">
        <v>0</v>
      </c>
      <c r="M26" s="848">
        <f t="shared" si="3"/>
        <v>496.0416</v>
      </c>
      <c r="N26" s="849">
        <f t="shared" si="4"/>
        <v>496.0416</v>
      </c>
      <c r="O26" s="236"/>
      <c r="P26" s="236"/>
      <c r="Q26" s="236"/>
      <c r="R26" s="236"/>
      <c r="S26" s="848">
        <v>143.5</v>
      </c>
      <c r="T26" s="849">
        <f t="shared" si="5"/>
        <v>35.5909848</v>
      </c>
    </row>
    <row r="27" spans="1:20" ht="12.75">
      <c r="A27" s="260">
        <v>17</v>
      </c>
      <c r="B27" s="195" t="s">
        <v>733</v>
      </c>
      <c r="C27" s="335">
        <v>38459</v>
      </c>
      <c r="D27" s="335">
        <v>345</v>
      </c>
      <c r="E27" s="335">
        <v>25</v>
      </c>
      <c r="F27" s="335">
        <v>164</v>
      </c>
      <c r="G27" s="333">
        <f t="shared" si="0"/>
        <v>38993</v>
      </c>
      <c r="H27" s="847">
        <v>240</v>
      </c>
      <c r="I27" s="337">
        <f t="shared" si="1"/>
        <v>935.832</v>
      </c>
      <c r="J27" s="337">
        <f t="shared" si="2"/>
        <v>935.832</v>
      </c>
      <c r="K27" s="844">
        <v>0</v>
      </c>
      <c r="L27" s="844">
        <v>0</v>
      </c>
      <c r="M27" s="848">
        <f t="shared" si="3"/>
        <v>187.1664</v>
      </c>
      <c r="N27" s="849">
        <f t="shared" si="4"/>
        <v>187.1664</v>
      </c>
      <c r="O27" s="236"/>
      <c r="P27" s="236"/>
      <c r="Q27" s="236"/>
      <c r="R27" s="236"/>
      <c r="S27" s="848">
        <v>143.5</v>
      </c>
      <c r="T27" s="849">
        <f t="shared" si="5"/>
        <v>13.4291892</v>
      </c>
    </row>
    <row r="28" spans="1:20" s="233" customFormat="1" ht="12.75">
      <c r="A28" s="260">
        <v>18</v>
      </c>
      <c r="B28" s="195" t="s">
        <v>735</v>
      </c>
      <c r="C28" s="335">
        <v>99615</v>
      </c>
      <c r="D28" s="335">
        <v>1503</v>
      </c>
      <c r="E28" s="335">
        <v>0</v>
      </c>
      <c r="F28" s="335">
        <v>97</v>
      </c>
      <c r="G28" s="333">
        <f t="shared" si="0"/>
        <v>101215</v>
      </c>
      <c r="H28" s="847">
        <v>240</v>
      </c>
      <c r="I28" s="337">
        <f t="shared" si="1"/>
        <v>2429.16</v>
      </c>
      <c r="J28" s="337">
        <f t="shared" si="2"/>
        <v>2429.16</v>
      </c>
      <c r="K28" s="844">
        <v>0</v>
      </c>
      <c r="L28" s="844">
        <v>0</v>
      </c>
      <c r="M28" s="848">
        <f t="shared" si="3"/>
        <v>485.832</v>
      </c>
      <c r="N28" s="849">
        <f t="shared" si="4"/>
        <v>485.832</v>
      </c>
      <c r="O28" s="236"/>
      <c r="P28" s="236"/>
      <c r="Q28" s="236"/>
      <c r="R28" s="236"/>
      <c r="S28" s="848">
        <v>143.5</v>
      </c>
      <c r="T28" s="849">
        <f t="shared" si="5"/>
        <v>34.858445999999994</v>
      </c>
    </row>
    <row r="29" spans="1:20" s="233" customFormat="1" ht="12.75">
      <c r="A29" s="260">
        <v>19</v>
      </c>
      <c r="B29" s="195" t="s">
        <v>732</v>
      </c>
      <c r="C29" s="335">
        <v>68909</v>
      </c>
      <c r="D29" s="335">
        <v>410</v>
      </c>
      <c r="E29" s="335">
        <v>101</v>
      </c>
      <c r="F29" s="335">
        <v>137</v>
      </c>
      <c r="G29" s="333">
        <f t="shared" si="0"/>
        <v>69557</v>
      </c>
      <c r="H29" s="847">
        <v>240</v>
      </c>
      <c r="I29" s="337">
        <f t="shared" si="1"/>
        <v>1669.368</v>
      </c>
      <c r="J29" s="337">
        <f t="shared" si="2"/>
        <v>1669.368</v>
      </c>
      <c r="K29" s="844">
        <v>0</v>
      </c>
      <c r="L29" s="844">
        <v>0</v>
      </c>
      <c r="M29" s="848">
        <f t="shared" si="3"/>
        <v>333.8736</v>
      </c>
      <c r="N29" s="849">
        <f t="shared" si="4"/>
        <v>333.8736</v>
      </c>
      <c r="O29" s="236"/>
      <c r="P29" s="236"/>
      <c r="Q29" s="236"/>
      <c r="R29" s="236"/>
      <c r="S29" s="848">
        <v>143.5</v>
      </c>
      <c r="T29" s="849">
        <f t="shared" si="5"/>
        <v>23.955430800000002</v>
      </c>
    </row>
    <row r="30" spans="1:20" s="233" customFormat="1" ht="12.75">
      <c r="A30" s="260">
        <v>20</v>
      </c>
      <c r="B30" s="195" t="s">
        <v>836</v>
      </c>
      <c r="C30" s="335">
        <v>51754</v>
      </c>
      <c r="D30" s="335">
        <v>8652</v>
      </c>
      <c r="E30" s="335">
        <v>0</v>
      </c>
      <c r="F30" s="335">
        <v>593</v>
      </c>
      <c r="G30" s="333">
        <f t="shared" si="0"/>
        <v>60999</v>
      </c>
      <c r="H30" s="847">
        <v>240</v>
      </c>
      <c r="I30" s="337">
        <f t="shared" si="1"/>
        <v>1463.976</v>
      </c>
      <c r="J30" s="337">
        <f t="shared" si="2"/>
        <v>1463.976</v>
      </c>
      <c r="K30" s="844">
        <v>0</v>
      </c>
      <c r="L30" s="844">
        <v>0</v>
      </c>
      <c r="M30" s="848">
        <f t="shared" si="3"/>
        <v>292.7952</v>
      </c>
      <c r="N30" s="849">
        <f t="shared" si="4"/>
        <v>292.7952</v>
      </c>
      <c r="O30" s="236"/>
      <c r="P30" s="236"/>
      <c r="Q30" s="236"/>
      <c r="R30" s="236"/>
      <c r="S30" s="848">
        <v>143.5</v>
      </c>
      <c r="T30" s="849">
        <f t="shared" si="5"/>
        <v>21.008055600000002</v>
      </c>
    </row>
    <row r="31" spans="1:20" s="233" customFormat="1" ht="12.75">
      <c r="A31" s="260">
        <v>21</v>
      </c>
      <c r="B31" s="195" t="s">
        <v>729</v>
      </c>
      <c r="C31" s="335">
        <v>71720</v>
      </c>
      <c r="D31" s="335">
        <v>809</v>
      </c>
      <c r="E31" s="335">
        <v>7</v>
      </c>
      <c r="F31" s="335">
        <v>84</v>
      </c>
      <c r="G31" s="333">
        <f t="shared" si="0"/>
        <v>72620</v>
      </c>
      <c r="H31" s="847">
        <v>240</v>
      </c>
      <c r="I31" s="337">
        <f t="shared" si="1"/>
        <v>1742.88</v>
      </c>
      <c r="J31" s="337">
        <f t="shared" si="2"/>
        <v>1742.88</v>
      </c>
      <c r="K31" s="844">
        <v>0</v>
      </c>
      <c r="L31" s="844">
        <v>0</v>
      </c>
      <c r="M31" s="848">
        <f t="shared" si="3"/>
        <v>348.576</v>
      </c>
      <c r="N31" s="849">
        <f t="shared" si="4"/>
        <v>348.576</v>
      </c>
      <c r="O31" s="236"/>
      <c r="P31" s="236"/>
      <c r="Q31" s="236"/>
      <c r="R31" s="236"/>
      <c r="S31" s="848">
        <v>143.5</v>
      </c>
      <c r="T31" s="849">
        <f t="shared" si="5"/>
        <v>25.010328</v>
      </c>
    </row>
    <row r="32" spans="1:20" s="233" customFormat="1" ht="12.75">
      <c r="A32" s="260">
        <v>22</v>
      </c>
      <c r="B32" s="195" t="s">
        <v>746</v>
      </c>
      <c r="C32" s="335">
        <v>72769</v>
      </c>
      <c r="D32" s="335">
        <v>794</v>
      </c>
      <c r="E32" s="335">
        <v>83</v>
      </c>
      <c r="F32" s="335">
        <v>371</v>
      </c>
      <c r="G32" s="333">
        <f t="shared" si="0"/>
        <v>74017</v>
      </c>
      <c r="H32" s="847">
        <v>240</v>
      </c>
      <c r="I32" s="337">
        <f t="shared" si="1"/>
        <v>1776.408</v>
      </c>
      <c r="J32" s="337">
        <f t="shared" si="2"/>
        <v>1776.408</v>
      </c>
      <c r="K32" s="844">
        <v>0</v>
      </c>
      <c r="L32" s="844">
        <v>0</v>
      </c>
      <c r="M32" s="848">
        <f t="shared" si="3"/>
        <v>355.2816</v>
      </c>
      <c r="N32" s="849">
        <f t="shared" si="4"/>
        <v>355.2816</v>
      </c>
      <c r="O32" s="236"/>
      <c r="P32" s="236"/>
      <c r="Q32" s="236"/>
      <c r="R32" s="236"/>
      <c r="S32" s="848">
        <v>143.5</v>
      </c>
      <c r="T32" s="849">
        <f t="shared" si="5"/>
        <v>25.4914548</v>
      </c>
    </row>
    <row r="33" spans="1:20" s="233" customFormat="1" ht="12.75">
      <c r="A33" s="260">
        <v>23</v>
      </c>
      <c r="B33" s="195" t="s">
        <v>738</v>
      </c>
      <c r="C33" s="335">
        <v>46822</v>
      </c>
      <c r="D33" s="335">
        <v>347</v>
      </c>
      <c r="E33" s="335">
        <v>0</v>
      </c>
      <c r="F33" s="335">
        <v>40</v>
      </c>
      <c r="G33" s="333">
        <f t="shared" si="0"/>
        <v>47209</v>
      </c>
      <c r="H33" s="847">
        <v>240</v>
      </c>
      <c r="I33" s="337">
        <f t="shared" si="1"/>
        <v>1133.016</v>
      </c>
      <c r="J33" s="337">
        <f t="shared" si="2"/>
        <v>1133.016</v>
      </c>
      <c r="K33" s="844">
        <v>0</v>
      </c>
      <c r="L33" s="844">
        <v>0</v>
      </c>
      <c r="M33" s="848">
        <f t="shared" si="3"/>
        <v>226.6032</v>
      </c>
      <c r="N33" s="849">
        <f t="shared" si="4"/>
        <v>226.6032</v>
      </c>
      <c r="O33" s="236"/>
      <c r="P33" s="236"/>
      <c r="Q33" s="236"/>
      <c r="R33" s="236"/>
      <c r="S33" s="848">
        <v>143.5</v>
      </c>
      <c r="T33" s="849">
        <f t="shared" si="5"/>
        <v>16.2587796</v>
      </c>
    </row>
    <row r="34" spans="1:20" s="233" customFormat="1" ht="12.75">
      <c r="A34" s="260">
        <v>24</v>
      </c>
      <c r="B34" s="195" t="s">
        <v>730</v>
      </c>
      <c r="C34" s="335">
        <v>51570</v>
      </c>
      <c r="D34" s="335">
        <v>48</v>
      </c>
      <c r="E34" s="335">
        <v>32</v>
      </c>
      <c r="F34" s="335">
        <v>50</v>
      </c>
      <c r="G34" s="333">
        <f t="shared" si="0"/>
        <v>51700</v>
      </c>
      <c r="H34" s="847">
        <v>240</v>
      </c>
      <c r="I34" s="337">
        <f t="shared" si="1"/>
        <v>1240.8</v>
      </c>
      <c r="J34" s="337">
        <f t="shared" si="2"/>
        <v>1240.8</v>
      </c>
      <c r="K34" s="844">
        <v>0</v>
      </c>
      <c r="L34" s="844">
        <v>0</v>
      </c>
      <c r="M34" s="848">
        <f t="shared" si="3"/>
        <v>248.16</v>
      </c>
      <c r="N34" s="849">
        <f t="shared" si="4"/>
        <v>248.16</v>
      </c>
      <c r="O34" s="236"/>
      <c r="P34" s="236"/>
      <c r="Q34" s="236"/>
      <c r="R34" s="236"/>
      <c r="S34" s="848">
        <v>143.5</v>
      </c>
      <c r="T34" s="849">
        <f t="shared" si="5"/>
        <v>17.80548</v>
      </c>
    </row>
    <row r="35" spans="1:20" s="233" customFormat="1" ht="12.75">
      <c r="A35" s="260">
        <v>25</v>
      </c>
      <c r="B35" s="195" t="s">
        <v>736</v>
      </c>
      <c r="C35" s="335">
        <v>23382</v>
      </c>
      <c r="D35" s="335">
        <v>1852</v>
      </c>
      <c r="E35" s="335">
        <v>16</v>
      </c>
      <c r="F35" s="335">
        <v>13</v>
      </c>
      <c r="G35" s="333">
        <f t="shared" si="0"/>
        <v>25263</v>
      </c>
      <c r="H35" s="847">
        <v>240</v>
      </c>
      <c r="I35" s="337">
        <f t="shared" si="1"/>
        <v>606.312</v>
      </c>
      <c r="J35" s="337">
        <f t="shared" si="2"/>
        <v>606.312</v>
      </c>
      <c r="K35" s="844">
        <v>0</v>
      </c>
      <c r="L35" s="844">
        <v>0</v>
      </c>
      <c r="M35" s="848">
        <f t="shared" si="3"/>
        <v>121.2624</v>
      </c>
      <c r="N35" s="849">
        <f t="shared" si="4"/>
        <v>121.2624</v>
      </c>
      <c r="O35" s="236"/>
      <c r="P35" s="236"/>
      <c r="Q35" s="236"/>
      <c r="R35" s="236"/>
      <c r="S35" s="848">
        <v>143.5</v>
      </c>
      <c r="T35" s="849">
        <f t="shared" si="5"/>
        <v>8.7005772</v>
      </c>
    </row>
    <row r="36" spans="1:20" s="233" customFormat="1" ht="12.75">
      <c r="A36" s="260">
        <v>26</v>
      </c>
      <c r="B36" s="195" t="s">
        <v>744</v>
      </c>
      <c r="C36" s="335">
        <v>26732</v>
      </c>
      <c r="D36" s="335">
        <v>752</v>
      </c>
      <c r="E36" s="335">
        <v>0</v>
      </c>
      <c r="F36" s="335">
        <v>0</v>
      </c>
      <c r="G36" s="333">
        <f t="shared" si="0"/>
        <v>27484</v>
      </c>
      <c r="H36" s="847">
        <v>240</v>
      </c>
      <c r="I36" s="337">
        <f t="shared" si="1"/>
        <v>659.616</v>
      </c>
      <c r="J36" s="337">
        <f t="shared" si="2"/>
        <v>659.616</v>
      </c>
      <c r="K36" s="844">
        <v>0</v>
      </c>
      <c r="L36" s="844">
        <v>0</v>
      </c>
      <c r="M36" s="848">
        <f t="shared" si="3"/>
        <v>131.9232</v>
      </c>
      <c r="N36" s="849">
        <f t="shared" si="4"/>
        <v>131.9232</v>
      </c>
      <c r="O36" s="236"/>
      <c r="P36" s="236"/>
      <c r="Q36" s="236"/>
      <c r="R36" s="236"/>
      <c r="S36" s="848">
        <v>143.5</v>
      </c>
      <c r="T36" s="849">
        <f t="shared" si="5"/>
        <v>9.4654896</v>
      </c>
    </row>
    <row r="37" spans="1:20" s="233" customFormat="1" ht="12.75">
      <c r="A37" s="262">
        <v>27</v>
      </c>
      <c r="B37" s="195" t="s">
        <v>838</v>
      </c>
      <c r="C37" s="335">
        <v>62631</v>
      </c>
      <c r="D37" s="335">
        <v>173</v>
      </c>
      <c r="E37" s="335">
        <v>0</v>
      </c>
      <c r="F37" s="335">
        <v>101</v>
      </c>
      <c r="G37" s="333">
        <f t="shared" si="0"/>
        <v>62905</v>
      </c>
      <c r="H37" s="847">
        <v>240</v>
      </c>
      <c r="I37" s="337">
        <f t="shared" si="1"/>
        <v>1509.72</v>
      </c>
      <c r="J37" s="337">
        <f t="shared" si="2"/>
        <v>1509.72</v>
      </c>
      <c r="K37" s="844">
        <v>0</v>
      </c>
      <c r="L37" s="844">
        <v>0</v>
      </c>
      <c r="M37" s="848">
        <f t="shared" si="3"/>
        <v>301.944</v>
      </c>
      <c r="N37" s="849">
        <f t="shared" si="4"/>
        <v>301.944</v>
      </c>
      <c r="O37" s="236"/>
      <c r="P37" s="236"/>
      <c r="Q37" s="236"/>
      <c r="R37" s="236"/>
      <c r="S37" s="848">
        <v>143.5</v>
      </c>
      <c r="T37" s="849">
        <f t="shared" si="5"/>
        <v>21.664482000000003</v>
      </c>
    </row>
    <row r="38" spans="1:20" s="233" customFormat="1" ht="12.75">
      <c r="A38" s="1174" t="s">
        <v>19</v>
      </c>
      <c r="B38" s="1175"/>
      <c r="C38" s="336">
        <f>SUM(C11:C37)</f>
        <v>1656064</v>
      </c>
      <c r="D38" s="336">
        <f>SUM(D11:D37)</f>
        <v>32794</v>
      </c>
      <c r="E38" s="336">
        <f>SUM(E11:E37)</f>
        <v>314</v>
      </c>
      <c r="F38" s="336">
        <f>SUM(F11:F37)</f>
        <v>10828</v>
      </c>
      <c r="G38" s="336">
        <f>SUM(G11:G37)</f>
        <v>1700000</v>
      </c>
      <c r="H38" s="847">
        <v>240</v>
      </c>
      <c r="I38" s="340">
        <f>SUM(I11:I37)</f>
        <v>40800</v>
      </c>
      <c r="J38" s="340">
        <f>SUM(J11:J37)</f>
        <v>40800</v>
      </c>
      <c r="K38" s="844">
        <v>0</v>
      </c>
      <c r="L38" s="844">
        <v>0</v>
      </c>
      <c r="M38" s="340">
        <f>SUM(M11:M37)</f>
        <v>8159.999999999999</v>
      </c>
      <c r="N38" s="340">
        <f>SUM(N11:N37)</f>
        <v>8159.999999999999</v>
      </c>
      <c r="O38" s="236"/>
      <c r="P38" s="236"/>
      <c r="Q38" s="236"/>
      <c r="R38" s="236"/>
      <c r="S38" s="848">
        <v>143.5</v>
      </c>
      <c r="T38" s="850">
        <f>SUM(T11:T37)</f>
        <v>585.4799999999999</v>
      </c>
    </row>
    <row r="39" spans="1:8" s="233" customFormat="1" ht="12.75">
      <c r="A39" s="237"/>
      <c r="B39" s="237"/>
      <c r="C39" s="237"/>
      <c r="D39" s="237"/>
      <c r="E39" s="237"/>
      <c r="F39" s="237"/>
      <c r="G39" s="237"/>
      <c r="H39" s="237"/>
    </row>
    <row r="40" spans="1:8" s="233" customFormat="1" ht="12.75">
      <c r="A40" s="238" t="s">
        <v>8</v>
      </c>
      <c r="B40" s="239"/>
      <c r="C40" s="239"/>
      <c r="D40" s="237"/>
      <c r="E40" s="237"/>
      <c r="F40" s="237"/>
      <c r="G40" s="237"/>
      <c r="H40" s="237"/>
    </row>
    <row r="41" spans="1:3" s="233" customFormat="1" ht="12.75">
      <c r="A41" s="240" t="s">
        <v>9</v>
      </c>
      <c r="B41" s="240"/>
      <c r="C41" s="240"/>
    </row>
    <row r="42" spans="1:3" s="233" customFormat="1" ht="12.75">
      <c r="A42" s="240" t="s">
        <v>10</v>
      </c>
      <c r="B42" s="240"/>
      <c r="C42" s="240"/>
    </row>
    <row r="43" spans="1:3" s="233" customFormat="1" ht="12.75">
      <c r="A43" s="240"/>
      <c r="B43" s="240"/>
      <c r="C43" s="240"/>
    </row>
    <row r="44" spans="1:3" s="233" customFormat="1" ht="12.75">
      <c r="A44" s="240"/>
      <c r="B44" s="240"/>
      <c r="C44" s="240"/>
    </row>
    <row r="45" spans="1:20" s="233" customFormat="1" ht="16.5" customHeight="1">
      <c r="A45" s="240" t="s">
        <v>12</v>
      </c>
      <c r="H45" s="240"/>
      <c r="J45" s="240"/>
      <c r="K45" s="240"/>
      <c r="L45" s="240"/>
      <c r="M45" s="240"/>
      <c r="N45" s="240"/>
      <c r="O45" s="240"/>
      <c r="P45" s="240"/>
      <c r="Q45" s="240"/>
      <c r="R45" s="1172" t="s">
        <v>13</v>
      </c>
      <c r="S45" s="1172"/>
      <c r="T45" s="240"/>
    </row>
    <row r="46" spans="9:20" s="233" customFormat="1" ht="12.75" customHeight="1">
      <c r="I46" s="240"/>
      <c r="J46" s="1172" t="s">
        <v>14</v>
      </c>
      <c r="K46" s="1172"/>
      <c r="L46" s="1172"/>
      <c r="M46" s="1172"/>
      <c r="N46" s="1172"/>
      <c r="O46" s="1172"/>
      <c r="P46" s="1172"/>
      <c r="Q46" s="1172"/>
      <c r="R46" s="1172"/>
      <c r="S46" s="1172"/>
      <c r="T46" s="1172"/>
    </row>
    <row r="47" spans="9:20" s="233" customFormat="1" ht="12.75" customHeight="1">
      <c r="I47" s="1172" t="s">
        <v>662</v>
      </c>
      <c r="J47" s="1172"/>
      <c r="K47" s="1172"/>
      <c r="L47" s="1172"/>
      <c r="M47" s="1172"/>
      <c r="N47" s="1172"/>
      <c r="O47" s="1172"/>
      <c r="P47" s="1172"/>
      <c r="Q47" s="1172"/>
      <c r="R47" s="1172"/>
      <c r="S47" s="1172"/>
      <c r="T47" s="1172"/>
    </row>
    <row r="48" spans="1:20" s="233" customFormat="1" ht="12.75">
      <c r="A48" s="240"/>
      <c r="B48" s="240"/>
      <c r="J48" s="240"/>
      <c r="K48" s="240"/>
      <c r="L48" s="240"/>
      <c r="M48" s="240"/>
      <c r="N48" s="240"/>
      <c r="O48" s="240"/>
      <c r="P48" s="240"/>
      <c r="Q48" s="240"/>
      <c r="R48" s="240" t="s">
        <v>1075</v>
      </c>
      <c r="S48" s="240"/>
      <c r="T48" s="240"/>
    </row>
    <row r="50" spans="1:20" s="233" customFormat="1" ht="12.75">
      <c r="A50" s="1173"/>
      <c r="B50" s="1173"/>
      <c r="C50" s="1173"/>
      <c r="D50" s="1173"/>
      <c r="E50" s="1173"/>
      <c r="F50" s="1173"/>
      <c r="G50" s="1173"/>
      <c r="H50" s="1173"/>
      <c r="I50" s="1173"/>
      <c r="J50" s="1173"/>
      <c r="K50" s="1173"/>
      <c r="L50" s="1173"/>
      <c r="M50" s="1173"/>
      <c r="N50" s="1173"/>
      <c r="O50" s="1173"/>
      <c r="P50" s="1173"/>
      <c r="Q50" s="1173"/>
      <c r="R50" s="1173"/>
      <c r="S50" s="1173"/>
      <c r="T50" s="1173"/>
    </row>
  </sheetData>
  <sheetProtection/>
  <mergeCells count="20">
    <mergeCell ref="R45:S45"/>
    <mergeCell ref="J46:T46"/>
    <mergeCell ref="I47:T47"/>
    <mergeCell ref="A50:T50"/>
    <mergeCell ref="A38:B38"/>
    <mergeCell ref="A7:B7"/>
    <mergeCell ref="L7:T7"/>
    <mergeCell ref="A8:A9"/>
    <mergeCell ref="B8:B9"/>
    <mergeCell ref="C8:G8"/>
    <mergeCell ref="H8:H9"/>
    <mergeCell ref="I8:L8"/>
    <mergeCell ref="M8:R8"/>
    <mergeCell ref="S8:T8"/>
    <mergeCell ref="A6:T6"/>
    <mergeCell ref="G1:I1"/>
    <mergeCell ref="Q1:T1"/>
    <mergeCell ref="A2:T2"/>
    <mergeCell ref="A3:T3"/>
    <mergeCell ref="A4:T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2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T50"/>
  <sheetViews>
    <sheetView view="pageBreakPreview" zoomScaleNormal="70" zoomScaleSheetLayoutView="100" zoomScalePageLayoutView="0" workbookViewId="0" topLeftCell="A3">
      <selection activeCell="S12" sqref="S12:S38"/>
    </sheetView>
  </sheetViews>
  <sheetFormatPr defaultColWidth="9.140625" defaultRowHeight="12.75"/>
  <cols>
    <col min="1" max="1" width="5.57421875" style="233" customWidth="1"/>
    <col min="2" max="2" width="12.00390625" style="233" customWidth="1"/>
    <col min="3" max="3" width="10.28125" style="233" customWidth="1"/>
    <col min="4" max="4" width="8.421875" style="233" customWidth="1"/>
    <col min="5" max="6" width="9.8515625" style="233" customWidth="1"/>
    <col min="7" max="7" width="10.8515625" style="233" customWidth="1"/>
    <col min="8" max="8" width="12.8515625" style="233" customWidth="1"/>
    <col min="9" max="10" width="8.7109375" style="218" customWidth="1"/>
    <col min="11" max="11" width="8.00390625" style="218" customWidth="1"/>
    <col min="12" max="14" width="8.140625" style="218" customWidth="1"/>
    <col min="15" max="15" width="8.421875" style="218" customWidth="1"/>
    <col min="16" max="18" width="8.140625" style="218" customWidth="1"/>
    <col min="19" max="19" width="10.421875" style="218" customWidth="1"/>
    <col min="20" max="20" width="12.57421875" style="218" customWidth="1"/>
    <col min="21" max="16384" width="9.140625" style="218" customWidth="1"/>
  </cols>
  <sheetData>
    <row r="1" spans="7:20" ht="12.75" customHeight="1">
      <c r="G1" s="854"/>
      <c r="H1" s="854"/>
      <c r="I1" s="854"/>
      <c r="J1" s="233"/>
      <c r="K1" s="233"/>
      <c r="L1" s="233"/>
      <c r="M1" s="233"/>
      <c r="N1" s="233"/>
      <c r="O1" s="233"/>
      <c r="P1" s="233"/>
      <c r="Q1" s="233"/>
      <c r="R1" s="233"/>
      <c r="S1" s="1159" t="s">
        <v>767</v>
      </c>
      <c r="T1" s="1159"/>
    </row>
    <row r="2" spans="1:20" ht="15.75">
      <c r="A2" s="1160" t="s">
        <v>0</v>
      </c>
      <c r="B2" s="1160"/>
      <c r="C2" s="1160"/>
      <c r="D2" s="1160"/>
      <c r="E2" s="1160"/>
      <c r="F2" s="1160"/>
      <c r="G2" s="1160"/>
      <c r="H2" s="1160"/>
      <c r="I2" s="1160"/>
      <c r="J2" s="1160"/>
      <c r="K2" s="1160"/>
      <c r="L2" s="1160"/>
      <c r="M2" s="1160"/>
      <c r="N2" s="1160"/>
      <c r="O2" s="1160"/>
      <c r="P2" s="1160"/>
      <c r="Q2" s="1160"/>
      <c r="R2" s="1160"/>
      <c r="S2" s="1160"/>
      <c r="T2" s="1160"/>
    </row>
    <row r="3" spans="1:20" ht="18">
      <c r="A3" s="1161" t="s">
        <v>859</v>
      </c>
      <c r="B3" s="1161"/>
      <c r="C3" s="1161"/>
      <c r="D3" s="1161"/>
      <c r="E3" s="1161"/>
      <c r="F3" s="1161"/>
      <c r="G3" s="1161"/>
      <c r="H3" s="1161"/>
      <c r="I3" s="1161"/>
      <c r="J3" s="1161"/>
      <c r="K3" s="1161"/>
      <c r="L3" s="1161"/>
      <c r="M3" s="1161"/>
      <c r="N3" s="1161"/>
      <c r="O3" s="1161"/>
      <c r="P3" s="1161"/>
      <c r="Q3" s="1161"/>
      <c r="R3" s="1161"/>
      <c r="S3" s="1161"/>
      <c r="T3" s="1161"/>
    </row>
    <row r="4" spans="1:20" ht="12.75" customHeight="1">
      <c r="A4" s="1162" t="s">
        <v>1076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</row>
    <row r="5" spans="1:20" s="219" customFormat="1" ht="7.5" customHeight="1">
      <c r="A5" s="1162"/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2"/>
      <c r="P5" s="1162"/>
      <c r="Q5" s="1162"/>
      <c r="R5" s="1162"/>
      <c r="S5" s="1162"/>
      <c r="T5" s="1162"/>
    </row>
    <row r="6" spans="1:20" ht="12.75">
      <c r="A6" s="1158"/>
      <c r="B6" s="1158"/>
      <c r="C6" s="1158"/>
      <c r="D6" s="1158"/>
      <c r="E6" s="1158"/>
      <c r="F6" s="1158"/>
      <c r="G6" s="1158"/>
      <c r="H6" s="1158"/>
      <c r="I6" s="1158"/>
      <c r="J6" s="1158"/>
      <c r="K6" s="1158"/>
      <c r="L6" s="1158"/>
      <c r="M6" s="1158"/>
      <c r="N6" s="1158"/>
      <c r="O6" s="1158"/>
      <c r="P6" s="1158"/>
      <c r="Q6" s="1158"/>
      <c r="R6" s="1158"/>
      <c r="S6" s="1158"/>
      <c r="T6" s="1158"/>
    </row>
    <row r="7" spans="1:20" ht="12.75">
      <c r="A7" s="1163" t="s">
        <v>634</v>
      </c>
      <c r="B7" s="1163"/>
      <c r="H7" s="841"/>
      <c r="I7" s="233"/>
      <c r="J7" s="233"/>
      <c r="K7" s="233"/>
      <c r="L7" s="1164"/>
      <c r="M7" s="1164"/>
      <c r="N7" s="1164"/>
      <c r="O7" s="1164"/>
      <c r="P7" s="1164"/>
      <c r="Q7" s="1164"/>
      <c r="R7" s="1164"/>
      <c r="S7" s="1164"/>
      <c r="T7" s="1164"/>
    </row>
    <row r="8" spans="1:20" ht="38.25" customHeight="1">
      <c r="A8" s="1165" t="s">
        <v>2</v>
      </c>
      <c r="B8" s="1165" t="s">
        <v>3</v>
      </c>
      <c r="C8" s="1166" t="s">
        <v>490</v>
      </c>
      <c r="D8" s="1167"/>
      <c r="E8" s="1167"/>
      <c r="F8" s="1167"/>
      <c r="G8" s="1168"/>
      <c r="H8" s="1169" t="s">
        <v>85</v>
      </c>
      <c r="I8" s="1166" t="s">
        <v>86</v>
      </c>
      <c r="J8" s="1167"/>
      <c r="K8" s="1167"/>
      <c r="L8" s="1168"/>
      <c r="M8" s="1165" t="s">
        <v>1067</v>
      </c>
      <c r="N8" s="1165"/>
      <c r="O8" s="1165"/>
      <c r="P8" s="1165"/>
      <c r="Q8" s="1165"/>
      <c r="R8" s="1165"/>
      <c r="S8" s="1171" t="s">
        <v>1068</v>
      </c>
      <c r="T8" s="1171"/>
    </row>
    <row r="9" spans="1:20" ht="44.25" customHeight="1">
      <c r="A9" s="1165"/>
      <c r="B9" s="1165"/>
      <c r="C9" s="842" t="s">
        <v>5</v>
      </c>
      <c r="D9" s="842" t="s">
        <v>6</v>
      </c>
      <c r="E9" s="842" t="s">
        <v>353</v>
      </c>
      <c r="F9" s="843" t="s">
        <v>101</v>
      </c>
      <c r="G9" s="843" t="s">
        <v>246</v>
      </c>
      <c r="H9" s="1170"/>
      <c r="I9" s="842" t="s">
        <v>90</v>
      </c>
      <c r="J9" s="842" t="s">
        <v>21</v>
      </c>
      <c r="K9" s="842" t="s">
        <v>42</v>
      </c>
      <c r="L9" s="842" t="s">
        <v>441</v>
      </c>
      <c r="M9" s="842" t="s">
        <v>19</v>
      </c>
      <c r="N9" s="842" t="s">
        <v>1077</v>
      </c>
      <c r="O9" s="842" t="s">
        <v>1069</v>
      </c>
      <c r="P9" s="842" t="s">
        <v>1070</v>
      </c>
      <c r="Q9" s="842" t="s">
        <v>1071</v>
      </c>
      <c r="R9" s="842" t="s">
        <v>1072</v>
      </c>
      <c r="S9" s="842" t="s">
        <v>1073</v>
      </c>
      <c r="T9" s="842" t="s">
        <v>1074</v>
      </c>
    </row>
    <row r="10" spans="1:20" s="846" customFormat="1" ht="12.75">
      <c r="A10" s="844">
        <v>1</v>
      </c>
      <c r="B10" s="844">
        <v>2</v>
      </c>
      <c r="C10" s="844">
        <v>3</v>
      </c>
      <c r="D10" s="844">
        <v>4</v>
      </c>
      <c r="E10" s="844">
        <v>5</v>
      </c>
      <c r="F10" s="844">
        <v>6</v>
      </c>
      <c r="G10" s="844">
        <v>7</v>
      </c>
      <c r="H10" s="844">
        <v>8</v>
      </c>
      <c r="I10" s="844">
        <v>9</v>
      </c>
      <c r="J10" s="844">
        <v>10</v>
      </c>
      <c r="K10" s="844">
        <v>11</v>
      </c>
      <c r="L10" s="844">
        <v>12</v>
      </c>
      <c r="M10" s="844">
        <v>13</v>
      </c>
      <c r="N10" s="844">
        <v>14</v>
      </c>
      <c r="O10" s="844">
        <v>15</v>
      </c>
      <c r="P10" s="844">
        <v>16</v>
      </c>
      <c r="Q10" s="844">
        <v>17</v>
      </c>
      <c r="R10" s="844">
        <v>18</v>
      </c>
      <c r="S10" s="844">
        <v>19</v>
      </c>
      <c r="T10" s="844">
        <v>20</v>
      </c>
    </row>
    <row r="11" spans="1:20" s="846" customFormat="1" ht="12.75">
      <c r="A11" s="262">
        <v>1</v>
      </c>
      <c r="B11" s="195" t="s">
        <v>841</v>
      </c>
      <c r="C11" s="339">
        <v>35108</v>
      </c>
      <c r="D11" s="339">
        <v>414</v>
      </c>
      <c r="E11" s="339">
        <v>0</v>
      </c>
      <c r="F11" s="339">
        <v>161</v>
      </c>
      <c r="G11" s="339">
        <f>SUM(C11:F11)</f>
        <v>35683</v>
      </c>
      <c r="H11" s="852">
        <v>240</v>
      </c>
      <c r="I11" s="338">
        <f>G11*H11*150/1000000</f>
        <v>1284.588</v>
      </c>
      <c r="J11" s="338">
        <f>I11</f>
        <v>1284.588</v>
      </c>
      <c r="K11" s="338">
        <v>0</v>
      </c>
      <c r="L11" s="338">
        <v>0</v>
      </c>
      <c r="M11" s="338">
        <v>256.9176</v>
      </c>
      <c r="N11" s="338">
        <f>G11*H11*30/1000000</f>
        <v>256.9176</v>
      </c>
      <c r="O11" s="844"/>
      <c r="P11" s="844"/>
      <c r="Q11" s="844"/>
      <c r="R11" s="844"/>
      <c r="S11" s="338">
        <v>143.5</v>
      </c>
      <c r="T11" s="338">
        <f>I11*S11*10/100000</f>
        <v>18.4338378</v>
      </c>
    </row>
    <row r="12" spans="1:20" s="846" customFormat="1" ht="12.75">
      <c r="A12" s="260">
        <v>2</v>
      </c>
      <c r="B12" s="195" t="s">
        <v>833</v>
      </c>
      <c r="C12" s="339">
        <v>36268</v>
      </c>
      <c r="D12" s="339">
        <v>1754</v>
      </c>
      <c r="E12" s="339">
        <v>0</v>
      </c>
      <c r="F12" s="339">
        <v>544</v>
      </c>
      <c r="G12" s="339">
        <f aca="true" t="shared" si="0" ref="G12:G37">SUM(C12:F12)</f>
        <v>38566</v>
      </c>
      <c r="H12" s="852">
        <v>240</v>
      </c>
      <c r="I12" s="338">
        <f aca="true" t="shared" si="1" ref="I12:I37">G12*H12*150/1000000</f>
        <v>1388.376</v>
      </c>
      <c r="J12" s="338">
        <f aca="true" t="shared" si="2" ref="J12:J37">I12</f>
        <v>1388.376</v>
      </c>
      <c r="K12" s="338">
        <v>0</v>
      </c>
      <c r="L12" s="338">
        <v>0</v>
      </c>
      <c r="M12" s="338">
        <v>277.6752</v>
      </c>
      <c r="N12" s="338">
        <f aca="true" t="shared" si="3" ref="N12:N37">G12*H12*30/1000000</f>
        <v>277.6752</v>
      </c>
      <c r="O12" s="844"/>
      <c r="P12" s="844"/>
      <c r="Q12" s="844"/>
      <c r="R12" s="844"/>
      <c r="S12" s="338">
        <v>143.5</v>
      </c>
      <c r="T12" s="338">
        <f aca="true" t="shared" si="4" ref="T12:T37">I12*S12*10/100000</f>
        <v>19.9231956</v>
      </c>
    </row>
    <row r="13" spans="1:20" s="846" customFormat="1" ht="12.75">
      <c r="A13" s="260">
        <v>3</v>
      </c>
      <c r="B13" s="195" t="s">
        <v>839</v>
      </c>
      <c r="C13" s="339">
        <v>31963</v>
      </c>
      <c r="D13" s="339">
        <v>1691</v>
      </c>
      <c r="E13" s="339">
        <v>0</v>
      </c>
      <c r="F13" s="339">
        <v>41</v>
      </c>
      <c r="G13" s="339">
        <f t="shared" si="0"/>
        <v>33695</v>
      </c>
      <c r="H13" s="852">
        <v>240</v>
      </c>
      <c r="I13" s="338">
        <f t="shared" si="1"/>
        <v>1213.02</v>
      </c>
      <c r="J13" s="338">
        <f t="shared" si="2"/>
        <v>1213.02</v>
      </c>
      <c r="K13" s="338">
        <v>0</v>
      </c>
      <c r="L13" s="338">
        <v>0</v>
      </c>
      <c r="M13" s="338">
        <v>242.604</v>
      </c>
      <c r="N13" s="338">
        <f t="shared" si="3"/>
        <v>242.604</v>
      </c>
      <c r="O13" s="844"/>
      <c r="P13" s="844"/>
      <c r="Q13" s="844"/>
      <c r="R13" s="844"/>
      <c r="S13" s="338">
        <v>143.5</v>
      </c>
      <c r="T13" s="338">
        <f t="shared" si="4"/>
        <v>17.406837</v>
      </c>
    </row>
    <row r="14" spans="1:20" s="846" customFormat="1" ht="12.75">
      <c r="A14" s="260">
        <v>4</v>
      </c>
      <c r="B14" s="195" t="s">
        <v>743</v>
      </c>
      <c r="C14" s="339">
        <v>89245</v>
      </c>
      <c r="D14" s="339">
        <v>2994</v>
      </c>
      <c r="E14" s="339">
        <v>0</v>
      </c>
      <c r="F14" s="339">
        <v>62</v>
      </c>
      <c r="G14" s="339">
        <f t="shared" si="0"/>
        <v>92301</v>
      </c>
      <c r="H14" s="852">
        <v>240</v>
      </c>
      <c r="I14" s="338">
        <f t="shared" si="1"/>
        <v>3322.836</v>
      </c>
      <c r="J14" s="338">
        <f t="shared" si="2"/>
        <v>3322.836</v>
      </c>
      <c r="K14" s="338">
        <v>0</v>
      </c>
      <c r="L14" s="338">
        <v>0</v>
      </c>
      <c r="M14" s="338">
        <v>664.5672</v>
      </c>
      <c r="N14" s="338">
        <f t="shared" si="3"/>
        <v>664.5672</v>
      </c>
      <c r="O14" s="844"/>
      <c r="P14" s="844"/>
      <c r="Q14" s="844"/>
      <c r="R14" s="844"/>
      <c r="S14" s="338">
        <v>143.5</v>
      </c>
      <c r="T14" s="338">
        <f t="shared" si="4"/>
        <v>47.68269659999999</v>
      </c>
    </row>
    <row r="15" spans="1:20" s="846" customFormat="1" ht="12.75">
      <c r="A15" s="260">
        <v>5</v>
      </c>
      <c r="B15" s="195" t="s">
        <v>748</v>
      </c>
      <c r="C15" s="339">
        <v>54063</v>
      </c>
      <c r="D15" s="339">
        <v>1206</v>
      </c>
      <c r="E15" s="339">
        <v>0</v>
      </c>
      <c r="F15" s="339">
        <v>77</v>
      </c>
      <c r="G15" s="339">
        <f t="shared" si="0"/>
        <v>55346</v>
      </c>
      <c r="H15" s="852">
        <v>240</v>
      </c>
      <c r="I15" s="338">
        <f t="shared" si="1"/>
        <v>1992.456</v>
      </c>
      <c r="J15" s="338">
        <f t="shared" si="2"/>
        <v>1992.456</v>
      </c>
      <c r="K15" s="338">
        <v>0</v>
      </c>
      <c r="L15" s="338">
        <v>0</v>
      </c>
      <c r="M15" s="338">
        <v>398.4912</v>
      </c>
      <c r="N15" s="338">
        <f t="shared" si="3"/>
        <v>398.4912</v>
      </c>
      <c r="O15" s="844"/>
      <c r="P15" s="844"/>
      <c r="Q15" s="844"/>
      <c r="R15" s="844"/>
      <c r="S15" s="338">
        <v>143.5</v>
      </c>
      <c r="T15" s="338">
        <f t="shared" si="4"/>
        <v>28.591743599999997</v>
      </c>
    </row>
    <row r="16" spans="1:20" s="846" customFormat="1" ht="12.75">
      <c r="A16" s="260">
        <v>6</v>
      </c>
      <c r="B16" s="195" t="s">
        <v>747</v>
      </c>
      <c r="C16" s="339">
        <v>68533</v>
      </c>
      <c r="D16" s="339">
        <v>371</v>
      </c>
      <c r="E16" s="339">
        <v>36</v>
      </c>
      <c r="F16" s="339">
        <v>103</v>
      </c>
      <c r="G16" s="339">
        <f t="shared" si="0"/>
        <v>69043</v>
      </c>
      <c r="H16" s="852">
        <v>240</v>
      </c>
      <c r="I16" s="338">
        <f t="shared" si="1"/>
        <v>2485.548</v>
      </c>
      <c r="J16" s="338">
        <f t="shared" si="2"/>
        <v>2485.548</v>
      </c>
      <c r="K16" s="338">
        <v>0</v>
      </c>
      <c r="L16" s="338">
        <v>0</v>
      </c>
      <c r="M16" s="338">
        <v>497.1096</v>
      </c>
      <c r="N16" s="338">
        <f t="shared" si="3"/>
        <v>497.1096</v>
      </c>
      <c r="O16" s="844"/>
      <c r="P16" s="844"/>
      <c r="Q16" s="844"/>
      <c r="R16" s="844"/>
      <c r="S16" s="338">
        <v>143.5</v>
      </c>
      <c r="T16" s="338">
        <f t="shared" si="4"/>
        <v>35.6676138</v>
      </c>
    </row>
    <row r="17" spans="1:20" s="846" customFormat="1" ht="12.75">
      <c r="A17" s="260">
        <v>7</v>
      </c>
      <c r="B17" s="195" t="s">
        <v>737</v>
      </c>
      <c r="C17" s="339">
        <v>42554</v>
      </c>
      <c r="D17" s="339">
        <v>642</v>
      </c>
      <c r="E17" s="339">
        <v>0</v>
      </c>
      <c r="F17" s="339">
        <v>285</v>
      </c>
      <c r="G17" s="339">
        <f t="shared" si="0"/>
        <v>43481</v>
      </c>
      <c r="H17" s="852">
        <v>240</v>
      </c>
      <c r="I17" s="338">
        <f t="shared" si="1"/>
        <v>1565.316</v>
      </c>
      <c r="J17" s="338">
        <f t="shared" si="2"/>
        <v>1565.316</v>
      </c>
      <c r="K17" s="338">
        <v>0</v>
      </c>
      <c r="L17" s="338">
        <v>0</v>
      </c>
      <c r="M17" s="338">
        <v>313.0632</v>
      </c>
      <c r="N17" s="338">
        <f t="shared" si="3"/>
        <v>313.0632</v>
      </c>
      <c r="O17" s="844"/>
      <c r="P17" s="844"/>
      <c r="Q17" s="844"/>
      <c r="R17" s="844"/>
      <c r="S17" s="338">
        <v>143.5</v>
      </c>
      <c r="T17" s="338">
        <f t="shared" si="4"/>
        <v>22.4622846</v>
      </c>
    </row>
    <row r="18" spans="1:20" s="846" customFormat="1" ht="12.75">
      <c r="A18" s="260">
        <v>8</v>
      </c>
      <c r="B18" s="195" t="s">
        <v>749</v>
      </c>
      <c r="C18" s="339">
        <v>66199</v>
      </c>
      <c r="D18" s="339">
        <v>2123</v>
      </c>
      <c r="E18" s="339">
        <v>109</v>
      </c>
      <c r="F18" s="339">
        <v>167</v>
      </c>
      <c r="G18" s="339">
        <f t="shared" si="0"/>
        <v>68598</v>
      </c>
      <c r="H18" s="852">
        <v>240</v>
      </c>
      <c r="I18" s="338">
        <f t="shared" si="1"/>
        <v>2469.528</v>
      </c>
      <c r="J18" s="338">
        <f t="shared" si="2"/>
        <v>2469.528</v>
      </c>
      <c r="K18" s="338">
        <v>0</v>
      </c>
      <c r="L18" s="338">
        <v>0</v>
      </c>
      <c r="M18" s="338">
        <v>493.9056</v>
      </c>
      <c r="N18" s="338">
        <f t="shared" si="3"/>
        <v>493.9056</v>
      </c>
      <c r="O18" s="844"/>
      <c r="P18" s="844"/>
      <c r="Q18" s="844"/>
      <c r="R18" s="844"/>
      <c r="S18" s="338">
        <v>143.5</v>
      </c>
      <c r="T18" s="338">
        <f t="shared" si="4"/>
        <v>35.4377268</v>
      </c>
    </row>
    <row r="19" spans="1:20" s="846" customFormat="1" ht="12.75">
      <c r="A19" s="260">
        <v>9</v>
      </c>
      <c r="B19" s="195" t="s">
        <v>834</v>
      </c>
      <c r="C19" s="339">
        <v>34743</v>
      </c>
      <c r="D19" s="339">
        <v>633</v>
      </c>
      <c r="E19" s="339">
        <v>44</v>
      </c>
      <c r="F19" s="339">
        <v>21</v>
      </c>
      <c r="G19" s="339">
        <f t="shared" si="0"/>
        <v>35441</v>
      </c>
      <c r="H19" s="852">
        <v>240</v>
      </c>
      <c r="I19" s="338">
        <f t="shared" si="1"/>
        <v>1275.876</v>
      </c>
      <c r="J19" s="338">
        <f t="shared" si="2"/>
        <v>1275.876</v>
      </c>
      <c r="K19" s="338">
        <v>0</v>
      </c>
      <c r="L19" s="338">
        <v>0</v>
      </c>
      <c r="M19" s="338">
        <v>255.1752</v>
      </c>
      <c r="N19" s="338">
        <f t="shared" si="3"/>
        <v>255.1752</v>
      </c>
      <c r="O19" s="844"/>
      <c r="P19" s="844"/>
      <c r="Q19" s="844"/>
      <c r="R19" s="844"/>
      <c r="S19" s="338">
        <v>143.5</v>
      </c>
      <c r="T19" s="338">
        <f t="shared" si="4"/>
        <v>18.3088206</v>
      </c>
    </row>
    <row r="20" spans="1:20" s="846" customFormat="1" ht="12.75">
      <c r="A20" s="260">
        <v>10</v>
      </c>
      <c r="B20" s="195" t="s">
        <v>739</v>
      </c>
      <c r="C20" s="339">
        <v>5920</v>
      </c>
      <c r="D20" s="339">
        <v>531</v>
      </c>
      <c r="E20" s="339">
        <v>0</v>
      </c>
      <c r="F20" s="339">
        <v>0</v>
      </c>
      <c r="G20" s="339">
        <f t="shared" si="0"/>
        <v>6451</v>
      </c>
      <c r="H20" s="852">
        <v>240</v>
      </c>
      <c r="I20" s="338">
        <f t="shared" si="1"/>
        <v>232.236</v>
      </c>
      <c r="J20" s="338">
        <f t="shared" si="2"/>
        <v>232.236</v>
      </c>
      <c r="K20" s="338">
        <v>0</v>
      </c>
      <c r="L20" s="338">
        <v>0</v>
      </c>
      <c r="M20" s="338">
        <v>46.4472</v>
      </c>
      <c r="N20" s="338">
        <f t="shared" si="3"/>
        <v>46.4472</v>
      </c>
      <c r="O20" s="844"/>
      <c r="P20" s="844"/>
      <c r="Q20" s="844"/>
      <c r="R20" s="844"/>
      <c r="S20" s="338">
        <v>143.5</v>
      </c>
      <c r="T20" s="338">
        <f t="shared" si="4"/>
        <v>3.3325866000000004</v>
      </c>
    </row>
    <row r="21" spans="1:20" ht="12.75">
      <c r="A21" s="260">
        <v>11</v>
      </c>
      <c r="B21" s="195" t="s">
        <v>840</v>
      </c>
      <c r="C21" s="339">
        <v>7773</v>
      </c>
      <c r="D21" s="339">
        <v>87</v>
      </c>
      <c r="E21" s="339">
        <v>0</v>
      </c>
      <c r="F21" s="339">
        <v>0</v>
      </c>
      <c r="G21" s="339">
        <f t="shared" si="0"/>
        <v>7860</v>
      </c>
      <c r="H21" s="852">
        <v>240</v>
      </c>
      <c r="I21" s="338">
        <f t="shared" si="1"/>
        <v>282.96</v>
      </c>
      <c r="J21" s="338">
        <f t="shared" si="2"/>
        <v>282.96</v>
      </c>
      <c r="K21" s="338">
        <v>0</v>
      </c>
      <c r="L21" s="338">
        <v>0</v>
      </c>
      <c r="M21" s="343">
        <v>56.592</v>
      </c>
      <c r="N21" s="338">
        <f t="shared" si="3"/>
        <v>56.592</v>
      </c>
      <c r="O21" s="236"/>
      <c r="P21" s="236"/>
      <c r="Q21" s="236"/>
      <c r="R21" s="236"/>
      <c r="S21" s="338">
        <v>143.5</v>
      </c>
      <c r="T21" s="338">
        <f t="shared" si="4"/>
        <v>4.0604759999999995</v>
      </c>
    </row>
    <row r="22" spans="1:20" ht="12.75">
      <c r="A22" s="260">
        <v>12</v>
      </c>
      <c r="B22" s="195" t="s">
        <v>837</v>
      </c>
      <c r="C22" s="339">
        <v>29111</v>
      </c>
      <c r="D22" s="339">
        <v>0</v>
      </c>
      <c r="E22" s="339">
        <v>0</v>
      </c>
      <c r="F22" s="339">
        <v>31</v>
      </c>
      <c r="G22" s="339">
        <f t="shared" si="0"/>
        <v>29142</v>
      </c>
      <c r="H22" s="852">
        <v>240</v>
      </c>
      <c r="I22" s="338">
        <f t="shared" si="1"/>
        <v>1049.112</v>
      </c>
      <c r="J22" s="338">
        <f t="shared" si="2"/>
        <v>1049.112</v>
      </c>
      <c r="K22" s="338">
        <v>0</v>
      </c>
      <c r="L22" s="338">
        <v>0</v>
      </c>
      <c r="M22" s="343">
        <v>209.8224</v>
      </c>
      <c r="N22" s="338">
        <f t="shared" si="3"/>
        <v>209.8224</v>
      </c>
      <c r="O22" s="236"/>
      <c r="P22" s="236"/>
      <c r="Q22" s="236"/>
      <c r="R22" s="236"/>
      <c r="S22" s="338">
        <v>143.5</v>
      </c>
      <c r="T22" s="338">
        <f t="shared" si="4"/>
        <v>15.054757200000003</v>
      </c>
    </row>
    <row r="23" spans="1:20" ht="12.75">
      <c r="A23" s="260">
        <v>13</v>
      </c>
      <c r="B23" s="195" t="s">
        <v>831</v>
      </c>
      <c r="C23" s="339">
        <v>32796</v>
      </c>
      <c r="D23" s="339">
        <v>309</v>
      </c>
      <c r="E23" s="339">
        <v>0</v>
      </c>
      <c r="F23" s="339">
        <v>0</v>
      </c>
      <c r="G23" s="339">
        <f t="shared" si="0"/>
        <v>33105</v>
      </c>
      <c r="H23" s="852">
        <v>240</v>
      </c>
      <c r="I23" s="338">
        <f t="shared" si="1"/>
        <v>1191.78</v>
      </c>
      <c r="J23" s="338">
        <f t="shared" si="2"/>
        <v>1191.78</v>
      </c>
      <c r="K23" s="338">
        <v>0</v>
      </c>
      <c r="L23" s="338">
        <v>0</v>
      </c>
      <c r="M23" s="343">
        <v>238.356</v>
      </c>
      <c r="N23" s="338">
        <f t="shared" si="3"/>
        <v>238.356</v>
      </c>
      <c r="O23" s="236"/>
      <c r="P23" s="236"/>
      <c r="Q23" s="236"/>
      <c r="R23" s="236"/>
      <c r="S23" s="338">
        <v>143.5</v>
      </c>
      <c r="T23" s="338">
        <f t="shared" si="4"/>
        <v>17.102043</v>
      </c>
    </row>
    <row r="24" spans="1:20" ht="12.75">
      <c r="A24" s="260">
        <v>14</v>
      </c>
      <c r="B24" s="195" t="s">
        <v>740</v>
      </c>
      <c r="C24" s="288">
        <v>44999</v>
      </c>
      <c r="D24" s="288">
        <v>0</v>
      </c>
      <c r="E24" s="288">
        <v>0</v>
      </c>
      <c r="F24" s="288">
        <v>33</v>
      </c>
      <c r="G24" s="339">
        <f t="shared" si="0"/>
        <v>45032</v>
      </c>
      <c r="H24" s="852">
        <v>240</v>
      </c>
      <c r="I24" s="338">
        <f t="shared" si="1"/>
        <v>1621.152</v>
      </c>
      <c r="J24" s="338">
        <f t="shared" si="2"/>
        <v>1621.152</v>
      </c>
      <c r="K24" s="338">
        <v>0</v>
      </c>
      <c r="L24" s="338">
        <v>0</v>
      </c>
      <c r="M24" s="343">
        <v>324.2304</v>
      </c>
      <c r="N24" s="338">
        <f t="shared" si="3"/>
        <v>324.2304</v>
      </c>
      <c r="O24" s="236"/>
      <c r="P24" s="236"/>
      <c r="Q24" s="236"/>
      <c r="R24" s="236"/>
      <c r="S24" s="338">
        <v>143.5</v>
      </c>
      <c r="T24" s="338">
        <f t="shared" si="4"/>
        <v>23.263531200000003</v>
      </c>
    </row>
    <row r="25" spans="1:20" ht="12.75">
      <c r="A25" s="260">
        <v>15</v>
      </c>
      <c r="B25" s="195" t="s">
        <v>835</v>
      </c>
      <c r="C25" s="288">
        <v>28352</v>
      </c>
      <c r="D25" s="288">
        <v>0</v>
      </c>
      <c r="E25" s="288">
        <v>0</v>
      </c>
      <c r="F25" s="288">
        <v>0</v>
      </c>
      <c r="G25" s="339">
        <f t="shared" si="0"/>
        <v>28352</v>
      </c>
      <c r="H25" s="852">
        <v>240</v>
      </c>
      <c r="I25" s="338">
        <f t="shared" si="1"/>
        <v>1020.672</v>
      </c>
      <c r="J25" s="338">
        <f t="shared" si="2"/>
        <v>1020.672</v>
      </c>
      <c r="K25" s="338">
        <v>0</v>
      </c>
      <c r="L25" s="338">
        <v>0</v>
      </c>
      <c r="M25" s="343">
        <v>204.1344</v>
      </c>
      <c r="N25" s="338">
        <f t="shared" si="3"/>
        <v>204.1344</v>
      </c>
      <c r="O25" s="236"/>
      <c r="P25" s="236"/>
      <c r="Q25" s="236"/>
      <c r="R25" s="236"/>
      <c r="S25" s="338">
        <v>143.5</v>
      </c>
      <c r="T25" s="338">
        <f t="shared" si="4"/>
        <v>14.646643200000002</v>
      </c>
    </row>
    <row r="26" spans="1:20" ht="12.75">
      <c r="A26" s="260">
        <v>16</v>
      </c>
      <c r="B26" s="195" t="s">
        <v>832</v>
      </c>
      <c r="C26" s="288">
        <v>70310</v>
      </c>
      <c r="D26" s="288">
        <v>211</v>
      </c>
      <c r="E26" s="288">
        <v>0</v>
      </c>
      <c r="F26" s="288">
        <v>0</v>
      </c>
      <c r="G26" s="339">
        <f t="shared" si="0"/>
        <v>70521</v>
      </c>
      <c r="H26" s="852">
        <v>240</v>
      </c>
      <c r="I26" s="338">
        <f t="shared" si="1"/>
        <v>2538.756</v>
      </c>
      <c r="J26" s="338">
        <f t="shared" si="2"/>
        <v>2538.756</v>
      </c>
      <c r="K26" s="338">
        <v>0</v>
      </c>
      <c r="L26" s="338">
        <v>0</v>
      </c>
      <c r="M26" s="343">
        <v>507.7512</v>
      </c>
      <c r="N26" s="338">
        <f t="shared" si="3"/>
        <v>507.7512</v>
      </c>
      <c r="O26" s="236"/>
      <c r="P26" s="236"/>
      <c r="Q26" s="236"/>
      <c r="R26" s="236"/>
      <c r="S26" s="338">
        <v>143.5</v>
      </c>
      <c r="T26" s="338">
        <f t="shared" si="4"/>
        <v>36.4311486</v>
      </c>
    </row>
    <row r="27" spans="1:20" ht="12.75">
      <c r="A27" s="260">
        <v>17</v>
      </c>
      <c r="B27" s="195" t="s">
        <v>733</v>
      </c>
      <c r="C27" s="288">
        <v>27316</v>
      </c>
      <c r="D27" s="288">
        <v>137</v>
      </c>
      <c r="E27" s="288">
        <v>0</v>
      </c>
      <c r="F27" s="288">
        <v>24</v>
      </c>
      <c r="G27" s="339">
        <f t="shared" si="0"/>
        <v>27477</v>
      </c>
      <c r="H27" s="852">
        <v>240</v>
      </c>
      <c r="I27" s="338">
        <f t="shared" si="1"/>
        <v>989.172</v>
      </c>
      <c r="J27" s="338">
        <f t="shared" si="2"/>
        <v>989.172</v>
      </c>
      <c r="K27" s="338">
        <v>0</v>
      </c>
      <c r="L27" s="338">
        <v>0</v>
      </c>
      <c r="M27" s="343">
        <v>197.8344</v>
      </c>
      <c r="N27" s="338">
        <f t="shared" si="3"/>
        <v>197.8344</v>
      </c>
      <c r="O27" s="236"/>
      <c r="P27" s="236"/>
      <c r="Q27" s="236"/>
      <c r="R27" s="236"/>
      <c r="S27" s="338">
        <v>143.5</v>
      </c>
      <c r="T27" s="338">
        <f t="shared" si="4"/>
        <v>14.1946182</v>
      </c>
    </row>
    <row r="28" spans="1:20" ht="12.75">
      <c r="A28" s="260">
        <v>18</v>
      </c>
      <c r="B28" s="195" t="s">
        <v>735</v>
      </c>
      <c r="C28" s="288">
        <v>72559</v>
      </c>
      <c r="D28" s="288">
        <v>821</v>
      </c>
      <c r="E28" s="288">
        <v>0</v>
      </c>
      <c r="F28" s="288">
        <v>0</v>
      </c>
      <c r="G28" s="339">
        <f t="shared" si="0"/>
        <v>73380</v>
      </c>
      <c r="H28" s="852">
        <v>240</v>
      </c>
      <c r="I28" s="338">
        <f t="shared" si="1"/>
        <v>2641.68</v>
      </c>
      <c r="J28" s="338">
        <f t="shared" si="2"/>
        <v>2641.68</v>
      </c>
      <c r="K28" s="338">
        <v>0</v>
      </c>
      <c r="L28" s="338">
        <v>0</v>
      </c>
      <c r="M28" s="343">
        <v>528.336</v>
      </c>
      <c r="N28" s="338">
        <f t="shared" si="3"/>
        <v>528.336</v>
      </c>
      <c r="O28" s="236"/>
      <c r="P28" s="236"/>
      <c r="Q28" s="236"/>
      <c r="R28" s="236"/>
      <c r="S28" s="338">
        <v>143.5</v>
      </c>
      <c r="T28" s="338">
        <f t="shared" si="4"/>
        <v>37.908108</v>
      </c>
    </row>
    <row r="29" spans="1:20" ht="12.75">
      <c r="A29" s="260">
        <v>19</v>
      </c>
      <c r="B29" s="195" t="s">
        <v>732</v>
      </c>
      <c r="C29" s="288">
        <v>45744</v>
      </c>
      <c r="D29" s="288">
        <v>458</v>
      </c>
      <c r="E29" s="288">
        <v>25</v>
      </c>
      <c r="F29" s="288">
        <v>0</v>
      </c>
      <c r="G29" s="339">
        <f t="shared" si="0"/>
        <v>46227</v>
      </c>
      <c r="H29" s="852">
        <v>240</v>
      </c>
      <c r="I29" s="338">
        <f t="shared" si="1"/>
        <v>1664.172</v>
      </c>
      <c r="J29" s="338">
        <f t="shared" si="2"/>
        <v>1664.172</v>
      </c>
      <c r="K29" s="338">
        <v>0</v>
      </c>
      <c r="L29" s="338">
        <v>0</v>
      </c>
      <c r="M29" s="343">
        <v>332.8344</v>
      </c>
      <c r="N29" s="338">
        <f t="shared" si="3"/>
        <v>332.8344</v>
      </c>
      <c r="O29" s="236"/>
      <c r="P29" s="236"/>
      <c r="Q29" s="236"/>
      <c r="R29" s="236"/>
      <c r="S29" s="338">
        <v>143.5</v>
      </c>
      <c r="T29" s="338">
        <f t="shared" si="4"/>
        <v>23.8808682</v>
      </c>
    </row>
    <row r="30" spans="1:20" ht="12.75">
      <c r="A30" s="260">
        <v>20</v>
      </c>
      <c r="B30" s="195" t="s">
        <v>836</v>
      </c>
      <c r="C30" s="288">
        <v>28253</v>
      </c>
      <c r="D30" s="288">
        <v>7261</v>
      </c>
      <c r="E30" s="288">
        <v>0</v>
      </c>
      <c r="F30" s="288">
        <v>266</v>
      </c>
      <c r="G30" s="339">
        <f t="shared" si="0"/>
        <v>35780</v>
      </c>
      <c r="H30" s="852">
        <v>240</v>
      </c>
      <c r="I30" s="338">
        <f t="shared" si="1"/>
        <v>1288.08</v>
      </c>
      <c r="J30" s="338">
        <f t="shared" si="2"/>
        <v>1288.08</v>
      </c>
      <c r="K30" s="338">
        <v>0</v>
      </c>
      <c r="L30" s="338">
        <v>0</v>
      </c>
      <c r="M30" s="343">
        <v>257.616</v>
      </c>
      <c r="N30" s="338">
        <f t="shared" si="3"/>
        <v>257.616</v>
      </c>
      <c r="O30" s="236"/>
      <c r="P30" s="236"/>
      <c r="Q30" s="236"/>
      <c r="R30" s="236"/>
      <c r="S30" s="338">
        <v>143.5</v>
      </c>
      <c r="T30" s="338">
        <f t="shared" si="4"/>
        <v>18.483947999999998</v>
      </c>
    </row>
    <row r="31" spans="1:20" ht="12.75">
      <c r="A31" s="260">
        <v>21</v>
      </c>
      <c r="B31" s="195" t="s">
        <v>729</v>
      </c>
      <c r="C31" s="288">
        <v>45232</v>
      </c>
      <c r="D31" s="288">
        <v>236</v>
      </c>
      <c r="E31" s="288">
        <v>0</v>
      </c>
      <c r="F31" s="288">
        <v>56</v>
      </c>
      <c r="G31" s="339">
        <f t="shared" si="0"/>
        <v>45524</v>
      </c>
      <c r="H31" s="852">
        <v>240</v>
      </c>
      <c r="I31" s="338">
        <f t="shared" si="1"/>
        <v>1638.864</v>
      </c>
      <c r="J31" s="338">
        <f t="shared" si="2"/>
        <v>1638.864</v>
      </c>
      <c r="K31" s="338">
        <v>0</v>
      </c>
      <c r="L31" s="338">
        <v>0</v>
      </c>
      <c r="M31" s="343">
        <v>327.7728</v>
      </c>
      <c r="N31" s="338">
        <f t="shared" si="3"/>
        <v>327.7728</v>
      </c>
      <c r="O31" s="236"/>
      <c r="P31" s="236"/>
      <c r="Q31" s="236"/>
      <c r="R31" s="236"/>
      <c r="S31" s="338">
        <v>143.5</v>
      </c>
      <c r="T31" s="338">
        <f t="shared" si="4"/>
        <v>23.517698399999997</v>
      </c>
    </row>
    <row r="32" spans="1:20" ht="12.75">
      <c r="A32" s="260">
        <v>22</v>
      </c>
      <c r="B32" s="195" t="s">
        <v>746</v>
      </c>
      <c r="C32" s="288">
        <v>52259</v>
      </c>
      <c r="D32" s="288">
        <v>1049</v>
      </c>
      <c r="E32" s="288">
        <v>28</v>
      </c>
      <c r="F32" s="288">
        <v>0</v>
      </c>
      <c r="G32" s="339">
        <f t="shared" si="0"/>
        <v>53336</v>
      </c>
      <c r="H32" s="852">
        <v>240</v>
      </c>
      <c r="I32" s="338">
        <f t="shared" si="1"/>
        <v>1920.096</v>
      </c>
      <c r="J32" s="338">
        <f t="shared" si="2"/>
        <v>1920.096</v>
      </c>
      <c r="K32" s="338">
        <v>0</v>
      </c>
      <c r="L32" s="338">
        <v>0</v>
      </c>
      <c r="M32" s="343">
        <v>384.0192</v>
      </c>
      <c r="N32" s="338">
        <f t="shared" si="3"/>
        <v>384.0192</v>
      </c>
      <c r="O32" s="236"/>
      <c r="P32" s="236"/>
      <c r="Q32" s="236"/>
      <c r="R32" s="236"/>
      <c r="S32" s="338">
        <v>143.5</v>
      </c>
      <c r="T32" s="338">
        <f t="shared" si="4"/>
        <v>27.5533776</v>
      </c>
    </row>
    <row r="33" spans="1:20" ht="12.75">
      <c r="A33" s="260">
        <v>23</v>
      </c>
      <c r="B33" s="195" t="s">
        <v>738</v>
      </c>
      <c r="C33" s="288">
        <v>32648</v>
      </c>
      <c r="D33" s="288">
        <v>338</v>
      </c>
      <c r="E33" s="288">
        <v>0</v>
      </c>
      <c r="F33" s="288">
        <v>23</v>
      </c>
      <c r="G33" s="339">
        <f t="shared" si="0"/>
        <v>33009</v>
      </c>
      <c r="H33" s="852">
        <v>240</v>
      </c>
      <c r="I33" s="338">
        <f t="shared" si="1"/>
        <v>1188.324</v>
      </c>
      <c r="J33" s="338">
        <f t="shared" si="2"/>
        <v>1188.324</v>
      </c>
      <c r="K33" s="338">
        <v>0</v>
      </c>
      <c r="L33" s="338">
        <v>0</v>
      </c>
      <c r="M33" s="343">
        <v>237.6648</v>
      </c>
      <c r="N33" s="338">
        <f t="shared" si="3"/>
        <v>237.6648</v>
      </c>
      <c r="O33" s="236"/>
      <c r="P33" s="236"/>
      <c r="Q33" s="236"/>
      <c r="R33" s="236"/>
      <c r="S33" s="338">
        <v>143.5</v>
      </c>
      <c r="T33" s="338">
        <f t="shared" si="4"/>
        <v>17.0524494</v>
      </c>
    </row>
    <row r="34" spans="1:20" ht="12.75">
      <c r="A34" s="260">
        <v>24</v>
      </c>
      <c r="B34" s="195" t="s">
        <v>730</v>
      </c>
      <c r="C34" s="288">
        <v>35566</v>
      </c>
      <c r="D34" s="288">
        <v>30</v>
      </c>
      <c r="E34" s="288">
        <v>0</v>
      </c>
      <c r="F34" s="288">
        <v>50</v>
      </c>
      <c r="G34" s="339">
        <f t="shared" si="0"/>
        <v>35646</v>
      </c>
      <c r="H34" s="852">
        <v>240</v>
      </c>
      <c r="I34" s="338">
        <f t="shared" si="1"/>
        <v>1283.256</v>
      </c>
      <c r="J34" s="338">
        <f t="shared" si="2"/>
        <v>1283.256</v>
      </c>
      <c r="K34" s="338">
        <v>0</v>
      </c>
      <c r="L34" s="338">
        <v>0</v>
      </c>
      <c r="M34" s="343">
        <v>256.6512</v>
      </c>
      <c r="N34" s="338">
        <f t="shared" si="3"/>
        <v>256.6512</v>
      </c>
      <c r="O34" s="236"/>
      <c r="P34" s="236"/>
      <c r="Q34" s="236"/>
      <c r="R34" s="236"/>
      <c r="S34" s="338">
        <v>143.5</v>
      </c>
      <c r="T34" s="338">
        <f t="shared" si="4"/>
        <v>18.414723600000002</v>
      </c>
    </row>
    <row r="35" spans="1:20" ht="12.75">
      <c r="A35" s="260">
        <v>25</v>
      </c>
      <c r="B35" s="195" t="s">
        <v>736</v>
      </c>
      <c r="C35" s="288">
        <v>9290</v>
      </c>
      <c r="D35" s="288">
        <v>814</v>
      </c>
      <c r="E35" s="288">
        <v>0</v>
      </c>
      <c r="F35" s="288">
        <v>6</v>
      </c>
      <c r="G35" s="339">
        <f t="shared" si="0"/>
        <v>10110</v>
      </c>
      <c r="H35" s="852">
        <v>240</v>
      </c>
      <c r="I35" s="338">
        <f t="shared" si="1"/>
        <v>363.96</v>
      </c>
      <c r="J35" s="338">
        <f t="shared" si="2"/>
        <v>363.96</v>
      </c>
      <c r="K35" s="338">
        <v>0</v>
      </c>
      <c r="L35" s="338">
        <v>0</v>
      </c>
      <c r="M35" s="343">
        <v>72.792</v>
      </c>
      <c r="N35" s="338">
        <f t="shared" si="3"/>
        <v>72.792</v>
      </c>
      <c r="O35" s="236"/>
      <c r="P35" s="236"/>
      <c r="Q35" s="236"/>
      <c r="R35" s="236"/>
      <c r="S35" s="338">
        <v>143.5</v>
      </c>
      <c r="T35" s="338">
        <f t="shared" si="4"/>
        <v>5.2228259999999995</v>
      </c>
    </row>
    <row r="36" spans="1:20" ht="12.75">
      <c r="A36" s="260">
        <v>26</v>
      </c>
      <c r="B36" s="195" t="s">
        <v>744</v>
      </c>
      <c r="C36" s="288">
        <v>9862</v>
      </c>
      <c r="D36" s="288">
        <v>596</v>
      </c>
      <c r="E36" s="288">
        <v>0</v>
      </c>
      <c r="F36" s="288">
        <v>0</v>
      </c>
      <c r="G36" s="339">
        <f t="shared" si="0"/>
        <v>10458</v>
      </c>
      <c r="H36" s="852">
        <v>240</v>
      </c>
      <c r="I36" s="338">
        <f t="shared" si="1"/>
        <v>376.488</v>
      </c>
      <c r="J36" s="338">
        <f t="shared" si="2"/>
        <v>376.488</v>
      </c>
      <c r="K36" s="338">
        <v>0</v>
      </c>
      <c r="L36" s="338">
        <v>0</v>
      </c>
      <c r="M36" s="343">
        <v>75.2976</v>
      </c>
      <c r="N36" s="338">
        <f t="shared" si="3"/>
        <v>75.2976</v>
      </c>
      <c r="O36" s="236"/>
      <c r="P36" s="236"/>
      <c r="Q36" s="236"/>
      <c r="R36" s="236"/>
      <c r="S36" s="338">
        <v>143.5</v>
      </c>
      <c r="T36" s="338">
        <f t="shared" si="4"/>
        <v>5.4026028</v>
      </c>
    </row>
    <row r="37" spans="1:20" ht="12.75">
      <c r="A37" s="262">
        <v>27</v>
      </c>
      <c r="B37" s="195" t="s">
        <v>838</v>
      </c>
      <c r="C37" s="288">
        <v>36275</v>
      </c>
      <c r="D37" s="288">
        <v>161</v>
      </c>
      <c r="E37" s="288">
        <v>0</v>
      </c>
      <c r="F37" s="288">
        <v>0</v>
      </c>
      <c r="G37" s="339">
        <f t="shared" si="0"/>
        <v>36436</v>
      </c>
      <c r="H37" s="852">
        <v>240</v>
      </c>
      <c r="I37" s="338">
        <f t="shared" si="1"/>
        <v>1311.696</v>
      </c>
      <c r="J37" s="338">
        <f t="shared" si="2"/>
        <v>1311.696</v>
      </c>
      <c r="K37" s="338">
        <v>0</v>
      </c>
      <c r="L37" s="338">
        <v>0</v>
      </c>
      <c r="M37" s="343">
        <v>262.3392</v>
      </c>
      <c r="N37" s="338">
        <f t="shared" si="3"/>
        <v>262.3392</v>
      </c>
      <c r="O37" s="236"/>
      <c r="P37" s="236"/>
      <c r="Q37" s="236"/>
      <c r="R37" s="236"/>
      <c r="S37" s="338">
        <v>143.5</v>
      </c>
      <c r="T37" s="338">
        <f t="shared" si="4"/>
        <v>18.822837599999996</v>
      </c>
    </row>
    <row r="38" spans="1:20" ht="12.75">
      <c r="A38" s="845" t="s">
        <v>19</v>
      </c>
      <c r="B38" s="236"/>
      <c r="C38" s="236">
        <f>SUM(C11:C37)</f>
        <v>1072941</v>
      </c>
      <c r="D38" s="236">
        <f>SUM(D11:D37)</f>
        <v>24867</v>
      </c>
      <c r="E38" s="236">
        <f>SUM(E11:E37)</f>
        <v>242</v>
      </c>
      <c r="F38" s="236">
        <f>SUM(F11:F37)</f>
        <v>1950</v>
      </c>
      <c r="G38" s="236">
        <f>SUM(G11:G37)</f>
        <v>1100000</v>
      </c>
      <c r="H38" s="852">
        <v>240</v>
      </c>
      <c r="I38" s="851">
        <f>SUM(I11:I37)</f>
        <v>39600</v>
      </c>
      <c r="J38" s="851">
        <f>SUM(J11:J37)</f>
        <v>39600</v>
      </c>
      <c r="K38" s="338">
        <v>0</v>
      </c>
      <c r="L38" s="338">
        <v>0</v>
      </c>
      <c r="M38" s="343">
        <v>7920.000000000001</v>
      </c>
      <c r="N38" s="851">
        <f>SUM(N11:N37)</f>
        <v>7920.000000000001</v>
      </c>
      <c r="O38" s="236"/>
      <c r="P38" s="236"/>
      <c r="Q38" s="236"/>
      <c r="R38" s="236"/>
      <c r="S38" s="338">
        <v>143.5</v>
      </c>
      <c r="T38" s="851">
        <f>SUM(T11:T37)</f>
        <v>568.2599999999999</v>
      </c>
    </row>
    <row r="39" spans="1:20" ht="12.75">
      <c r="A39" s="237"/>
      <c r="B39" s="237"/>
      <c r="C39" s="237"/>
      <c r="D39" s="237"/>
      <c r="E39" s="237"/>
      <c r="F39" s="237"/>
      <c r="G39" s="237"/>
      <c r="H39" s="237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</row>
    <row r="40" spans="1:20" ht="12.75">
      <c r="A40" s="238" t="s">
        <v>8</v>
      </c>
      <c r="B40" s="239"/>
      <c r="C40" s="239"/>
      <c r="D40" s="237"/>
      <c r="E40" s="237"/>
      <c r="F40" s="237"/>
      <c r="G40" s="237"/>
      <c r="H40" s="237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</row>
    <row r="41" spans="1:20" ht="12.75">
      <c r="A41" s="240" t="s">
        <v>9</v>
      </c>
      <c r="B41" s="240"/>
      <c r="C41" s="240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</row>
    <row r="42" spans="1:20" ht="12.75">
      <c r="A42" s="240" t="s">
        <v>10</v>
      </c>
      <c r="B42" s="240"/>
      <c r="C42" s="240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</row>
    <row r="43" spans="1:20" ht="12.75">
      <c r="A43" s="240"/>
      <c r="B43" s="240"/>
      <c r="C43" s="240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</row>
    <row r="44" spans="1:20" ht="12.75">
      <c r="A44" s="240"/>
      <c r="B44" s="240"/>
      <c r="C44" s="240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</row>
    <row r="45" spans="1:20" ht="12.75">
      <c r="A45" s="240" t="s">
        <v>12</v>
      </c>
      <c r="H45" s="240"/>
      <c r="I45" s="233"/>
      <c r="J45" s="240"/>
      <c r="K45" s="240"/>
      <c r="L45" s="240"/>
      <c r="M45" s="240"/>
      <c r="N45" s="240"/>
      <c r="O45" s="240"/>
      <c r="P45" s="240"/>
      <c r="Q45" s="240" t="s">
        <v>13</v>
      </c>
      <c r="R45" s="240"/>
      <c r="S45" s="240"/>
      <c r="T45" s="240"/>
    </row>
    <row r="46" spans="9:20" ht="12.75" customHeight="1">
      <c r="I46" s="240"/>
      <c r="J46" s="1172" t="s">
        <v>14</v>
      </c>
      <c r="K46" s="1172"/>
      <c r="L46" s="1172"/>
      <c r="M46" s="1172"/>
      <c r="N46" s="1172"/>
      <c r="O46" s="1172"/>
      <c r="P46" s="1172"/>
      <c r="Q46" s="1172"/>
      <c r="R46" s="1172"/>
      <c r="S46" s="1172"/>
      <c r="T46" s="1172"/>
    </row>
    <row r="47" spans="9:20" ht="12.75" customHeight="1">
      <c r="I47" s="1172" t="s">
        <v>662</v>
      </c>
      <c r="J47" s="1172"/>
      <c r="K47" s="1172"/>
      <c r="L47" s="1172"/>
      <c r="M47" s="1172"/>
      <c r="N47" s="1172"/>
      <c r="O47" s="1172"/>
      <c r="P47" s="1172"/>
      <c r="Q47" s="1172"/>
      <c r="R47" s="1172"/>
      <c r="S47" s="1172"/>
      <c r="T47" s="1172"/>
    </row>
    <row r="48" spans="1:20" ht="12.75">
      <c r="A48" s="240"/>
      <c r="B48" s="240"/>
      <c r="I48" s="233"/>
      <c r="J48" s="240"/>
      <c r="K48" s="240"/>
      <c r="L48" s="240"/>
      <c r="M48" s="240"/>
      <c r="N48" s="240"/>
      <c r="O48" s="240"/>
      <c r="P48" s="240"/>
      <c r="Q48" s="240" t="s">
        <v>1075</v>
      </c>
      <c r="R48" s="240"/>
      <c r="S48" s="240"/>
      <c r="T48" s="240"/>
    </row>
    <row r="50" spans="1:20" ht="12.75">
      <c r="A50" s="1173"/>
      <c r="B50" s="1173"/>
      <c r="C50" s="1173"/>
      <c r="D50" s="1173"/>
      <c r="E50" s="1173"/>
      <c r="F50" s="1173"/>
      <c r="G50" s="1173"/>
      <c r="H50" s="1173"/>
      <c r="I50" s="1173"/>
      <c r="J50" s="1173"/>
      <c r="K50" s="1173"/>
      <c r="L50" s="1173"/>
      <c r="M50" s="1173"/>
      <c r="N50" s="1173"/>
      <c r="O50" s="1173"/>
      <c r="P50" s="1173"/>
      <c r="Q50" s="1173"/>
      <c r="R50" s="1173"/>
      <c r="S50" s="1173"/>
      <c r="T50" s="1173"/>
    </row>
  </sheetData>
  <sheetProtection/>
  <mergeCells count="18">
    <mergeCell ref="M8:R8"/>
    <mergeCell ref="S8:T8"/>
    <mergeCell ref="J46:T46"/>
    <mergeCell ref="I47:T47"/>
    <mergeCell ref="A50:T50"/>
    <mergeCell ref="A7:B7"/>
    <mergeCell ref="L7:T7"/>
    <mergeCell ref="A8:A9"/>
    <mergeCell ref="B8:B9"/>
    <mergeCell ref="C8:G8"/>
    <mergeCell ref="H8:H9"/>
    <mergeCell ref="I8:L8"/>
    <mergeCell ref="A6:T6"/>
    <mergeCell ref="G1:I1"/>
    <mergeCell ref="S1:T1"/>
    <mergeCell ref="A2:T2"/>
    <mergeCell ref="A3:T3"/>
    <mergeCell ref="A4:T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2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R55"/>
  <sheetViews>
    <sheetView view="pageBreakPreview" zoomScale="90" zoomScaleSheetLayoutView="90" zoomScalePageLayoutView="0" workbookViewId="0" topLeftCell="A1">
      <selection activeCell="O22" sqref="O22"/>
    </sheetView>
  </sheetViews>
  <sheetFormatPr defaultColWidth="9.140625" defaultRowHeight="12.75"/>
  <cols>
    <col min="1" max="1" width="6.57421875" style="233" customWidth="1"/>
    <col min="2" max="2" width="15.57421875" style="233" customWidth="1"/>
    <col min="3" max="3" width="17.8515625" style="233" customWidth="1"/>
    <col min="4" max="4" width="10.8515625" style="233" customWidth="1"/>
    <col min="5" max="5" width="4.57421875" style="233" customWidth="1"/>
    <col min="6" max="6" width="0.2890625" style="233" hidden="1" customWidth="1"/>
    <col min="7" max="7" width="8.7109375" style="233" customWidth="1"/>
    <col min="8" max="9" width="8.00390625" style="233" customWidth="1"/>
    <col min="10" max="14" width="8.140625" style="233" customWidth="1"/>
    <col min="15" max="15" width="10.140625" style="233" customWidth="1"/>
    <col min="16" max="16" width="11.421875" style="233" customWidth="1"/>
    <col min="17" max="17" width="14.7109375" style="233" customWidth="1"/>
    <col min="18" max="18" width="21.57421875" style="233" customWidth="1"/>
    <col min="19" max="16384" width="9.140625" style="233" customWidth="1"/>
  </cols>
  <sheetData>
    <row r="1" spans="4:18" ht="15">
      <c r="D1" s="854"/>
      <c r="E1" s="854"/>
      <c r="F1" s="854"/>
      <c r="G1" s="854"/>
      <c r="Q1" s="1159" t="s">
        <v>768</v>
      </c>
      <c r="R1" s="1159"/>
    </row>
    <row r="2" spans="1:18" ht="15.75">
      <c r="A2" s="1160" t="s">
        <v>0</v>
      </c>
      <c r="B2" s="1160"/>
      <c r="C2" s="1160"/>
      <c r="D2" s="1160"/>
      <c r="E2" s="1160"/>
      <c r="F2" s="1160"/>
      <c r="G2" s="1160"/>
      <c r="H2" s="1160"/>
      <c r="I2" s="1160"/>
      <c r="J2" s="1160"/>
      <c r="K2" s="1160"/>
      <c r="L2" s="1160"/>
      <c r="M2" s="1160"/>
      <c r="N2" s="1160"/>
      <c r="O2" s="1160"/>
      <c r="P2" s="1160"/>
      <c r="Q2" s="1160"/>
      <c r="R2" s="1160"/>
    </row>
    <row r="3" spans="1:18" ht="20.25">
      <c r="A3" s="1182" t="s">
        <v>859</v>
      </c>
      <c r="B3" s="1182"/>
      <c r="C3" s="1182"/>
      <c r="D3" s="1182"/>
      <c r="E3" s="1182"/>
      <c r="F3" s="1182"/>
      <c r="G3" s="1182"/>
      <c r="H3" s="1182"/>
      <c r="I3" s="1182"/>
      <c r="J3" s="1182"/>
      <c r="K3" s="1182"/>
      <c r="L3" s="1182"/>
      <c r="M3" s="1182"/>
      <c r="N3" s="1182"/>
      <c r="O3" s="1182"/>
      <c r="P3" s="1182"/>
      <c r="Q3" s="1182"/>
      <c r="R3" s="1182"/>
    </row>
    <row r="5" spans="1:18" s="245" customFormat="1" ht="15.75">
      <c r="A5" s="1162" t="s">
        <v>996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2"/>
      <c r="P5" s="1162"/>
      <c r="Q5" s="1162"/>
      <c r="R5" s="1162"/>
    </row>
    <row r="6" spans="1:18" ht="12.75">
      <c r="A6" s="1158"/>
      <c r="B6" s="1158"/>
      <c r="C6" s="1158"/>
      <c r="D6" s="1158"/>
      <c r="E6" s="1158"/>
      <c r="F6" s="1158"/>
      <c r="G6" s="1158"/>
      <c r="H6" s="1158"/>
      <c r="I6" s="1158"/>
      <c r="J6" s="1158"/>
      <c r="K6" s="1158"/>
      <c r="L6" s="1158"/>
      <c r="M6" s="1158"/>
      <c r="N6" s="1158"/>
      <c r="O6" s="1158"/>
      <c r="P6" s="1158"/>
      <c r="Q6" s="1158"/>
      <c r="R6" s="1158"/>
    </row>
    <row r="7" spans="1:18" ht="12.75">
      <c r="A7" s="35" t="s">
        <v>634</v>
      </c>
      <c r="B7" s="35"/>
      <c r="D7" s="241"/>
      <c r="E7" s="241"/>
      <c r="J7" s="1164"/>
      <c r="K7" s="1164"/>
      <c r="L7" s="1164"/>
      <c r="M7" s="1164"/>
      <c r="N7" s="1164"/>
      <c r="O7" s="1164"/>
      <c r="P7" s="1164"/>
      <c r="Q7" s="1164"/>
      <c r="R7" s="1164"/>
    </row>
    <row r="8" spans="1:18" ht="30.75" customHeight="1">
      <c r="A8" s="1165" t="s">
        <v>2</v>
      </c>
      <c r="B8" s="1165" t="s">
        <v>3</v>
      </c>
      <c r="C8" s="1176" t="s">
        <v>491</v>
      </c>
      <c r="D8" s="1169" t="s">
        <v>85</v>
      </c>
      <c r="E8" s="1183"/>
      <c r="F8" s="1184"/>
      <c r="G8" s="1166" t="s">
        <v>86</v>
      </c>
      <c r="H8" s="1167"/>
      <c r="I8" s="1167"/>
      <c r="J8" s="1168"/>
      <c r="K8" s="1166" t="s">
        <v>92</v>
      </c>
      <c r="L8" s="1167"/>
      <c r="M8" s="1167"/>
      <c r="N8" s="1168"/>
      <c r="O8" s="1169" t="s">
        <v>195</v>
      </c>
      <c r="P8" s="1183"/>
      <c r="Q8" s="1184"/>
      <c r="R8" s="1165" t="s">
        <v>154</v>
      </c>
    </row>
    <row r="9" spans="1:18" ht="44.25" customHeight="1">
      <c r="A9" s="1165"/>
      <c r="B9" s="1165"/>
      <c r="C9" s="1177"/>
      <c r="D9" s="1170"/>
      <c r="E9" s="1185"/>
      <c r="F9" s="1186"/>
      <c r="G9" s="234" t="s">
        <v>196</v>
      </c>
      <c r="H9" s="234" t="s">
        <v>117</v>
      </c>
      <c r="I9" s="234" t="s">
        <v>118</v>
      </c>
      <c r="J9" s="234" t="s">
        <v>442</v>
      </c>
      <c r="K9" s="234" t="s">
        <v>144</v>
      </c>
      <c r="L9" s="234" t="s">
        <v>146</v>
      </c>
      <c r="M9" s="234" t="s">
        <v>148</v>
      </c>
      <c r="N9" s="234" t="s">
        <v>441</v>
      </c>
      <c r="O9" s="234" t="s">
        <v>166</v>
      </c>
      <c r="P9" s="235" t="s">
        <v>153</v>
      </c>
      <c r="Q9" s="242" t="s">
        <v>19</v>
      </c>
      <c r="R9" s="1165"/>
    </row>
    <row r="10" spans="1:18" s="240" customFormat="1" ht="12.75">
      <c r="A10" s="234">
        <v>1</v>
      </c>
      <c r="B10" s="234">
        <v>2</v>
      </c>
      <c r="C10" s="234">
        <v>3</v>
      </c>
      <c r="D10" s="1166">
        <v>4</v>
      </c>
      <c r="E10" s="1167"/>
      <c r="F10" s="1168"/>
      <c r="G10" s="234">
        <v>5</v>
      </c>
      <c r="H10" s="234">
        <v>6</v>
      </c>
      <c r="I10" s="234">
        <v>7</v>
      </c>
      <c r="J10" s="234">
        <v>8</v>
      </c>
      <c r="K10" s="234">
        <v>9</v>
      </c>
      <c r="L10" s="234">
        <v>10</v>
      </c>
      <c r="M10" s="234">
        <v>11</v>
      </c>
      <c r="N10" s="234">
        <v>12</v>
      </c>
      <c r="O10" s="234">
        <v>13</v>
      </c>
      <c r="P10" s="234">
        <v>14</v>
      </c>
      <c r="Q10" s="234">
        <v>15</v>
      </c>
      <c r="R10" s="234">
        <v>16</v>
      </c>
    </row>
    <row r="11" spans="1:18" s="240" customFormat="1" ht="12.75">
      <c r="A11" s="262">
        <v>1</v>
      </c>
      <c r="B11" s="195" t="s">
        <v>841</v>
      </c>
      <c r="C11" s="258"/>
      <c r="D11" s="255"/>
      <c r="E11" s="256"/>
      <c r="F11" s="257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</row>
    <row r="12" spans="1:18" s="240" customFormat="1" ht="12.75">
      <c r="A12" s="260">
        <v>2</v>
      </c>
      <c r="B12" s="195" t="s">
        <v>833</v>
      </c>
      <c r="C12" s="258"/>
      <c r="D12" s="255"/>
      <c r="E12" s="256"/>
      <c r="F12" s="257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</row>
    <row r="13" spans="1:18" s="240" customFormat="1" ht="12.75">
      <c r="A13" s="260">
        <v>3</v>
      </c>
      <c r="B13" s="195" t="s">
        <v>839</v>
      </c>
      <c r="C13" s="258"/>
      <c r="D13" s="255"/>
      <c r="E13" s="256"/>
      <c r="F13" s="257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</row>
    <row r="14" spans="1:18" s="240" customFormat="1" ht="12.75">
      <c r="A14" s="260">
        <v>4</v>
      </c>
      <c r="B14" s="195" t="s">
        <v>743</v>
      </c>
      <c r="C14" s="258"/>
      <c r="D14" s="255"/>
      <c r="E14" s="256"/>
      <c r="F14" s="257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</row>
    <row r="15" spans="1:18" s="240" customFormat="1" ht="12.75">
      <c r="A15" s="260">
        <v>5</v>
      </c>
      <c r="B15" s="195" t="s">
        <v>748</v>
      </c>
      <c r="C15" s="258"/>
      <c r="D15" s="255"/>
      <c r="E15" s="256"/>
      <c r="F15" s="257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</row>
    <row r="16" spans="1:18" s="240" customFormat="1" ht="12.75">
      <c r="A16" s="260">
        <v>6</v>
      </c>
      <c r="B16" s="195" t="s">
        <v>747</v>
      </c>
      <c r="C16" s="258"/>
      <c r="D16" s="255"/>
      <c r="E16" s="256"/>
      <c r="F16" s="257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</row>
    <row r="17" spans="1:18" s="240" customFormat="1" ht="12.75">
      <c r="A17" s="260">
        <v>7</v>
      </c>
      <c r="B17" s="195" t="s">
        <v>737</v>
      </c>
      <c r="C17" s="258"/>
      <c r="D17" s="255"/>
      <c r="E17" s="256"/>
      <c r="F17" s="257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</row>
    <row r="18" spans="1:18" s="240" customFormat="1" ht="12.75">
      <c r="A18" s="260">
        <v>8</v>
      </c>
      <c r="B18" s="195" t="s">
        <v>749</v>
      </c>
      <c r="C18" s="258"/>
      <c r="D18" s="255"/>
      <c r="E18" s="256"/>
      <c r="F18" s="257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</row>
    <row r="19" spans="1:18" s="240" customFormat="1" ht="12.75">
      <c r="A19" s="260">
        <v>9</v>
      </c>
      <c r="B19" s="195" t="s">
        <v>834</v>
      </c>
      <c r="C19" s="258"/>
      <c r="D19" s="255"/>
      <c r="E19" s="256"/>
      <c r="F19" s="257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</row>
    <row r="20" spans="1:18" s="240" customFormat="1" ht="12.75">
      <c r="A20" s="260">
        <v>10</v>
      </c>
      <c r="B20" s="195" t="s">
        <v>739</v>
      </c>
      <c r="C20" s="258"/>
      <c r="D20" s="255"/>
      <c r="E20" s="256"/>
      <c r="F20" s="257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</row>
    <row r="21" spans="1:18" s="240" customFormat="1" ht="12.75">
      <c r="A21" s="260">
        <v>11</v>
      </c>
      <c r="B21" s="195" t="s">
        <v>840</v>
      </c>
      <c r="C21" s="258"/>
      <c r="D21" s="255"/>
      <c r="E21" s="256"/>
      <c r="F21" s="257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</row>
    <row r="22" spans="1:18" s="240" customFormat="1" ht="12.75">
      <c r="A22" s="260">
        <v>12</v>
      </c>
      <c r="B22" s="195" t="s">
        <v>837</v>
      </c>
      <c r="C22" s="258"/>
      <c r="D22" s="255"/>
      <c r="E22" s="256"/>
      <c r="F22" s="257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</row>
    <row r="23" spans="1:18" s="240" customFormat="1" ht="12.75">
      <c r="A23" s="260">
        <v>13</v>
      </c>
      <c r="B23" s="195" t="s">
        <v>831</v>
      </c>
      <c r="C23" s="258"/>
      <c r="D23" s="255"/>
      <c r="E23" s="256"/>
      <c r="F23" s="257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</row>
    <row r="24" spans="1:18" s="240" customFormat="1" ht="12.75">
      <c r="A24" s="260">
        <v>14</v>
      </c>
      <c r="B24" s="195" t="s">
        <v>740</v>
      </c>
      <c r="C24" s="258"/>
      <c r="D24" s="255"/>
      <c r="E24" s="256"/>
      <c r="F24" s="257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</row>
    <row r="25" spans="1:18" ht="12.75">
      <c r="A25" s="260">
        <v>15</v>
      </c>
      <c r="B25" s="195" t="s">
        <v>835</v>
      </c>
      <c r="C25" s="236"/>
      <c r="D25" s="1178"/>
      <c r="E25" s="1179"/>
      <c r="F25" s="1180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43"/>
    </row>
    <row r="26" spans="1:18" ht="12.75">
      <c r="A26" s="260">
        <v>16</v>
      </c>
      <c r="B26" s="195" t="s">
        <v>832</v>
      </c>
      <c r="C26" s="236"/>
      <c r="D26" s="1178"/>
      <c r="E26" s="1179"/>
      <c r="F26" s="1180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43"/>
    </row>
    <row r="27" spans="1:18" ht="12.75">
      <c r="A27" s="260">
        <v>17</v>
      </c>
      <c r="B27" s="195" t="s">
        <v>733</v>
      </c>
      <c r="C27" s="236"/>
      <c r="D27" s="1178"/>
      <c r="E27" s="1179"/>
      <c r="F27" s="1180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43"/>
    </row>
    <row r="28" spans="1:18" ht="12.75">
      <c r="A28" s="260">
        <v>18</v>
      </c>
      <c r="B28" s="195" t="s">
        <v>735</v>
      </c>
      <c r="C28" s="236"/>
      <c r="D28" s="1178"/>
      <c r="E28" s="1179"/>
      <c r="F28" s="1180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43"/>
    </row>
    <row r="29" spans="1:18" ht="12.75">
      <c r="A29" s="260">
        <v>19</v>
      </c>
      <c r="B29" s="195" t="s">
        <v>732</v>
      </c>
      <c r="C29" s="236"/>
      <c r="D29" s="1178"/>
      <c r="E29" s="1179"/>
      <c r="F29" s="1180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43"/>
    </row>
    <row r="30" spans="1:18" ht="12.75">
      <c r="A30" s="260">
        <v>20</v>
      </c>
      <c r="B30" s="195" t="s">
        <v>836</v>
      </c>
      <c r="C30" s="236"/>
      <c r="D30" s="1178"/>
      <c r="E30" s="1179"/>
      <c r="F30" s="1180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43"/>
    </row>
    <row r="31" spans="1:18" ht="12.75">
      <c r="A31" s="260">
        <v>21</v>
      </c>
      <c r="B31" s="195" t="s">
        <v>729</v>
      </c>
      <c r="C31" s="236"/>
      <c r="D31" s="1178"/>
      <c r="E31" s="1179"/>
      <c r="F31" s="1180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43"/>
    </row>
    <row r="32" spans="1:18" ht="12.75">
      <c r="A32" s="260">
        <v>22</v>
      </c>
      <c r="B32" s="195" t="s">
        <v>746</v>
      </c>
      <c r="C32" s="236"/>
      <c r="D32" s="1178"/>
      <c r="E32" s="1179"/>
      <c r="F32" s="1180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43"/>
    </row>
    <row r="33" spans="1:18" ht="12.75">
      <c r="A33" s="260">
        <v>23</v>
      </c>
      <c r="B33" s="195" t="s">
        <v>738</v>
      </c>
      <c r="C33" s="236"/>
      <c r="D33" s="1178"/>
      <c r="E33" s="1179"/>
      <c r="F33" s="1180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43"/>
    </row>
    <row r="34" spans="1:18" ht="12.75">
      <c r="A34" s="260">
        <v>24</v>
      </c>
      <c r="B34" s="195" t="s">
        <v>730</v>
      </c>
      <c r="C34" s="236"/>
      <c r="D34" s="1178"/>
      <c r="E34" s="1179"/>
      <c r="F34" s="1180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43"/>
    </row>
    <row r="35" spans="1:18" ht="12.75">
      <c r="A35" s="260">
        <v>25</v>
      </c>
      <c r="B35" s="195" t="s">
        <v>736</v>
      </c>
      <c r="C35" s="236"/>
      <c r="D35" s="1178"/>
      <c r="E35" s="1179"/>
      <c r="F35" s="1180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43"/>
    </row>
    <row r="36" spans="1:18" ht="12.75">
      <c r="A36" s="260">
        <v>26</v>
      </c>
      <c r="B36" s="195" t="s">
        <v>744</v>
      </c>
      <c r="C36" s="236"/>
      <c r="D36" s="1178"/>
      <c r="E36" s="1179"/>
      <c r="F36" s="1180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43"/>
    </row>
    <row r="37" spans="1:18" ht="12.75">
      <c r="A37" s="262">
        <v>27</v>
      </c>
      <c r="B37" s="195" t="s">
        <v>838</v>
      </c>
      <c r="C37" s="236"/>
      <c r="D37" s="1178"/>
      <c r="E37" s="1179"/>
      <c r="F37" s="1180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43"/>
    </row>
    <row r="38" spans="1:18" ht="12.75">
      <c r="A38" s="1174" t="s">
        <v>19</v>
      </c>
      <c r="B38" s="1181"/>
      <c r="C38" s="236"/>
      <c r="D38" s="1178"/>
      <c r="E38" s="1179"/>
      <c r="F38" s="1180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</row>
    <row r="39" spans="1:5" ht="12.75">
      <c r="A39" s="237"/>
      <c r="B39" s="237"/>
      <c r="C39" s="237"/>
      <c r="D39" s="237"/>
      <c r="E39" s="237"/>
    </row>
    <row r="40" spans="1:8" ht="12.75">
      <c r="A40" s="238" t="s">
        <v>8</v>
      </c>
      <c r="B40" s="239"/>
      <c r="C40" s="239"/>
      <c r="D40" s="237"/>
      <c r="E40" s="237"/>
      <c r="F40" s="237"/>
      <c r="G40" s="237"/>
      <c r="H40" s="237"/>
    </row>
    <row r="41" spans="1:3" ht="12.75">
      <c r="A41" s="240" t="s">
        <v>9</v>
      </c>
      <c r="B41" s="240"/>
      <c r="C41" s="240"/>
    </row>
    <row r="42" spans="1:3" ht="12.75">
      <c r="A42" s="240" t="s">
        <v>10</v>
      </c>
      <c r="B42" s="240"/>
      <c r="C42" s="240"/>
    </row>
    <row r="43" spans="1:18" ht="12.75">
      <c r="A43" s="1163" t="s">
        <v>230</v>
      </c>
      <c r="B43" s="1163"/>
      <c r="C43" s="1163"/>
      <c r="D43" s="1163"/>
      <c r="L43" s="237"/>
      <c r="M43" s="244"/>
      <c r="N43" s="244"/>
      <c r="O43" s="244"/>
      <c r="P43" s="244"/>
      <c r="Q43" s="244"/>
      <c r="R43" s="244"/>
    </row>
    <row r="44" spans="1:3" ht="12.75">
      <c r="A44" s="238" t="s">
        <v>115</v>
      </c>
      <c r="B44" s="240" t="s">
        <v>197</v>
      </c>
      <c r="C44" s="240"/>
    </row>
    <row r="45" spans="1:6" ht="12.75">
      <c r="A45" s="238" t="s">
        <v>145</v>
      </c>
      <c r="B45" s="1163" t="s">
        <v>657</v>
      </c>
      <c r="C45" s="1163"/>
      <c r="D45" s="1163"/>
      <c r="E45" s="1163"/>
      <c r="F45" s="371"/>
    </row>
    <row r="46" spans="1:6" ht="12.75">
      <c r="A46" s="240" t="s">
        <v>147</v>
      </c>
      <c r="B46" s="1163" t="s">
        <v>658</v>
      </c>
      <c r="C46" s="1163"/>
      <c r="D46" s="1163"/>
      <c r="E46" s="1163"/>
      <c r="F46" s="371"/>
    </row>
    <row r="47" spans="1:18" ht="12.75">
      <c r="A47" s="240" t="s">
        <v>167</v>
      </c>
      <c r="B47" s="1163" t="s">
        <v>660</v>
      </c>
      <c r="C47" s="1163"/>
      <c r="D47" s="1163"/>
      <c r="E47" s="1163"/>
      <c r="F47" s="1163"/>
      <c r="G47" s="1163"/>
      <c r="H47" s="1163"/>
      <c r="I47" s="1163"/>
      <c r="J47" s="1163"/>
      <c r="K47" s="1163"/>
      <c r="L47" s="1163"/>
      <c r="M47" s="1163"/>
      <c r="N47" s="1163"/>
      <c r="O47" s="1163"/>
      <c r="P47" s="1163"/>
      <c r="Q47" s="1163"/>
      <c r="R47" s="1163"/>
    </row>
    <row r="48" spans="1:3" ht="12.75">
      <c r="A48" s="240" t="s">
        <v>119</v>
      </c>
      <c r="B48" s="240" t="s">
        <v>247</v>
      </c>
      <c r="C48" s="240"/>
    </row>
    <row r="49" spans="1:3" ht="12.75">
      <c r="A49" s="240" t="s">
        <v>120</v>
      </c>
      <c r="B49" s="240" t="s">
        <v>249</v>
      </c>
      <c r="C49" s="240"/>
    </row>
    <row r="50" spans="1:16" ht="12.75" customHeight="1">
      <c r="A50" s="240"/>
      <c r="B50" s="240" t="s">
        <v>250</v>
      </c>
      <c r="C50" s="240"/>
      <c r="P50" s="233" t="s">
        <v>851</v>
      </c>
    </row>
    <row r="51" spans="7:18" ht="12.75" customHeight="1">
      <c r="G51" s="240"/>
      <c r="H51" s="366"/>
      <c r="I51" s="366"/>
      <c r="J51" s="366"/>
      <c r="K51" s="366"/>
      <c r="L51" s="366"/>
      <c r="M51" s="83"/>
      <c r="N51" s="881" t="s">
        <v>14</v>
      </c>
      <c r="O51" s="881"/>
      <c r="P51" s="881"/>
      <c r="Q51" s="881"/>
      <c r="R51" s="83"/>
    </row>
    <row r="52" spans="7:18" ht="12.75" customHeight="1">
      <c r="G52" s="366"/>
      <c r="H52" s="366"/>
      <c r="I52" s="366"/>
      <c r="J52" s="366"/>
      <c r="K52" s="366"/>
      <c r="L52" s="366"/>
      <c r="M52" s="881" t="s">
        <v>637</v>
      </c>
      <c r="N52" s="881"/>
      <c r="O52" s="881"/>
      <c r="P52" s="881"/>
      <c r="Q52" s="881"/>
      <c r="R52" s="881"/>
    </row>
    <row r="53" spans="1:18" ht="12.75">
      <c r="A53" s="240"/>
      <c r="B53" s="240"/>
      <c r="H53" s="240"/>
      <c r="I53" s="240"/>
      <c r="J53" s="240"/>
      <c r="K53" s="240"/>
      <c r="L53" s="240"/>
      <c r="M53" s="14"/>
      <c r="N53" s="14"/>
      <c r="O53" s="1" t="s">
        <v>84</v>
      </c>
      <c r="P53" s="1"/>
      <c r="Q53" s="1"/>
      <c r="R53" s="1"/>
    </row>
    <row r="55" spans="1:18" ht="12.75">
      <c r="A55" s="1158"/>
      <c r="B55" s="1158"/>
      <c r="C55" s="1158"/>
      <c r="D55" s="1158"/>
      <c r="E55" s="1158"/>
      <c r="F55" s="1158"/>
      <c r="G55" s="1158"/>
      <c r="H55" s="1158"/>
      <c r="I55" s="1158"/>
      <c r="J55" s="1158"/>
      <c r="K55" s="1158"/>
      <c r="L55" s="1158"/>
      <c r="M55" s="1158"/>
      <c r="N55" s="1158"/>
      <c r="O55" s="1158"/>
      <c r="P55" s="1158"/>
      <c r="Q55" s="1158"/>
      <c r="R55" s="1158"/>
    </row>
  </sheetData>
  <sheetProtection/>
  <mergeCells count="38">
    <mergeCell ref="D28:F28"/>
    <mergeCell ref="B45:E45"/>
    <mergeCell ref="B46:E46"/>
    <mergeCell ref="B47:R47"/>
    <mergeCell ref="A6:R6"/>
    <mergeCell ref="J7:R7"/>
    <mergeCell ref="A8:A9"/>
    <mergeCell ref="B8:B9"/>
    <mergeCell ref="D8:F9"/>
    <mergeCell ref="O8:Q8"/>
    <mergeCell ref="R8:R9"/>
    <mergeCell ref="D1:G1"/>
    <mergeCell ref="Q1:R1"/>
    <mergeCell ref="A2:R2"/>
    <mergeCell ref="A3:R3"/>
    <mergeCell ref="A5:R5"/>
    <mergeCell ref="A43:D43"/>
    <mergeCell ref="G8:J8"/>
    <mergeCell ref="K8:N8"/>
    <mergeCell ref="D26:F26"/>
    <mergeCell ref="D27:F27"/>
    <mergeCell ref="A38:B38"/>
    <mergeCell ref="D34:F34"/>
    <mergeCell ref="D30:F30"/>
    <mergeCell ref="D31:F31"/>
    <mergeCell ref="D33:F33"/>
    <mergeCell ref="D29:F29"/>
    <mergeCell ref="D32:F32"/>
    <mergeCell ref="N51:Q51"/>
    <mergeCell ref="M52:R52"/>
    <mergeCell ref="A55:R55"/>
    <mergeCell ref="C8:C9"/>
    <mergeCell ref="D36:F36"/>
    <mergeCell ref="D37:F37"/>
    <mergeCell ref="D38:F38"/>
    <mergeCell ref="D10:F10"/>
    <mergeCell ref="D25:F25"/>
    <mergeCell ref="D35:F35"/>
  </mergeCells>
  <printOptions horizontalCentered="1"/>
  <pageMargins left="0.7086614173228347" right="0.7086614173228347" top="0.52" bottom="0" header="0.7" footer="0.31496062992125984"/>
  <pageSetup fitToHeight="1" fitToWidth="1"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X37"/>
  <sheetViews>
    <sheetView zoomScaleSheetLayoutView="80" zoomScalePageLayoutView="0" workbookViewId="0" topLeftCell="L10">
      <selection activeCell="AD10" sqref="AD10:AD39"/>
    </sheetView>
  </sheetViews>
  <sheetFormatPr defaultColWidth="9.140625" defaultRowHeight="12.75"/>
  <cols>
    <col min="1" max="1" width="7.28125" style="184" customWidth="1"/>
    <col min="2" max="2" width="26.00390625" style="184" customWidth="1"/>
    <col min="3" max="5" width="11.140625" style="184" customWidth="1"/>
    <col min="6" max="6" width="16.00390625" style="184" customWidth="1"/>
    <col min="7" max="9" width="10.7109375" style="184" customWidth="1"/>
    <col min="10" max="10" width="12.57421875" style="184" customWidth="1"/>
    <col min="11" max="18" width="9.140625" style="184" customWidth="1"/>
    <col min="19" max="21" width="8.8515625" style="184" customWidth="1"/>
    <col min="22" max="16384" width="9.140625" style="184" customWidth="1"/>
  </cols>
  <sheetData>
    <row r="1" ht="15">
      <c r="V1" s="185" t="s">
        <v>707</v>
      </c>
    </row>
    <row r="2" spans="7:18" ht="15.75">
      <c r="G2" s="124" t="s">
        <v>0</v>
      </c>
      <c r="H2" s="124"/>
      <c r="I2" s="124"/>
      <c r="O2" s="87"/>
      <c r="P2" s="87"/>
      <c r="Q2" s="87"/>
      <c r="R2" s="87"/>
    </row>
    <row r="3" spans="3:24" ht="20.25">
      <c r="C3" s="952" t="s">
        <v>859</v>
      </c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2"/>
      <c r="O3" s="128"/>
      <c r="P3" s="128"/>
      <c r="Q3" s="128"/>
      <c r="R3" s="128"/>
      <c r="S3" s="128"/>
      <c r="T3" s="128"/>
      <c r="U3" s="128"/>
      <c r="V3" s="128"/>
      <c r="W3" s="128"/>
      <c r="X3" s="128"/>
    </row>
    <row r="4" spans="3:22" ht="18"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</row>
    <row r="5" spans="2:22" ht="15.75">
      <c r="B5" s="953" t="s">
        <v>852</v>
      </c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953"/>
      <c r="O5" s="953"/>
      <c r="P5" s="953"/>
      <c r="Q5" s="953"/>
      <c r="R5" s="953"/>
      <c r="S5" s="953"/>
      <c r="T5" s="88"/>
      <c r="U5" s="954" t="s">
        <v>273</v>
      </c>
      <c r="V5" s="955"/>
    </row>
    <row r="6" spans="11:18" ht="15">
      <c r="K6" s="87"/>
      <c r="L6" s="87"/>
      <c r="M6" s="87"/>
      <c r="N6" s="87"/>
      <c r="O6" s="87"/>
      <c r="P6" s="87"/>
      <c r="Q6" s="87"/>
      <c r="R6" s="87"/>
    </row>
    <row r="7" spans="1:22" ht="12.75">
      <c r="A7" s="956" t="s">
        <v>634</v>
      </c>
      <c r="B7" s="956"/>
      <c r="O7" s="957" t="s">
        <v>784</v>
      </c>
      <c r="P7" s="957"/>
      <c r="Q7" s="957"/>
      <c r="R7" s="957"/>
      <c r="S7" s="957"/>
      <c r="T7" s="957"/>
      <c r="U7" s="957"/>
      <c r="V7" s="957"/>
    </row>
    <row r="8" spans="1:22" ht="35.25" customHeight="1">
      <c r="A8" s="938" t="s">
        <v>2</v>
      </c>
      <c r="B8" s="938" t="s">
        <v>160</v>
      </c>
      <c r="C8" s="939" t="s">
        <v>161</v>
      </c>
      <c r="D8" s="939"/>
      <c r="E8" s="939"/>
      <c r="F8" s="939" t="s">
        <v>162</v>
      </c>
      <c r="G8" s="938" t="s">
        <v>192</v>
      </c>
      <c r="H8" s="938"/>
      <c r="I8" s="938"/>
      <c r="J8" s="938"/>
      <c r="K8" s="938"/>
      <c r="L8" s="938"/>
      <c r="M8" s="938"/>
      <c r="N8" s="938"/>
      <c r="O8" s="938" t="s">
        <v>193</v>
      </c>
      <c r="P8" s="938"/>
      <c r="Q8" s="938"/>
      <c r="R8" s="938"/>
      <c r="S8" s="938"/>
      <c r="T8" s="938"/>
      <c r="U8" s="938"/>
      <c r="V8" s="938"/>
    </row>
    <row r="9" spans="1:22" ht="15">
      <c r="A9" s="938"/>
      <c r="B9" s="938"/>
      <c r="C9" s="939" t="s">
        <v>274</v>
      </c>
      <c r="D9" s="939" t="s">
        <v>43</v>
      </c>
      <c r="E9" s="939" t="s">
        <v>44</v>
      </c>
      <c r="F9" s="939"/>
      <c r="G9" s="938" t="s">
        <v>194</v>
      </c>
      <c r="H9" s="938"/>
      <c r="I9" s="938"/>
      <c r="J9" s="938"/>
      <c r="K9" s="938" t="s">
        <v>178</v>
      </c>
      <c r="L9" s="938"/>
      <c r="M9" s="938"/>
      <c r="N9" s="938"/>
      <c r="O9" s="938" t="s">
        <v>163</v>
      </c>
      <c r="P9" s="938"/>
      <c r="Q9" s="938"/>
      <c r="R9" s="938"/>
      <c r="S9" s="938" t="s">
        <v>177</v>
      </c>
      <c r="T9" s="938"/>
      <c r="U9" s="938"/>
      <c r="V9" s="938"/>
    </row>
    <row r="10" spans="1:22" ht="12.75">
      <c r="A10" s="938"/>
      <c r="B10" s="938"/>
      <c r="C10" s="939"/>
      <c r="D10" s="939"/>
      <c r="E10" s="939"/>
      <c r="F10" s="939"/>
      <c r="G10" s="940" t="s">
        <v>164</v>
      </c>
      <c r="H10" s="941"/>
      <c r="I10" s="942"/>
      <c r="J10" s="935" t="s">
        <v>165</v>
      </c>
      <c r="K10" s="946" t="s">
        <v>164</v>
      </c>
      <c r="L10" s="947"/>
      <c r="M10" s="948"/>
      <c r="N10" s="935" t="s">
        <v>165</v>
      </c>
      <c r="O10" s="946" t="s">
        <v>164</v>
      </c>
      <c r="P10" s="947"/>
      <c r="Q10" s="948"/>
      <c r="R10" s="935" t="s">
        <v>165</v>
      </c>
      <c r="S10" s="946" t="s">
        <v>164</v>
      </c>
      <c r="T10" s="947"/>
      <c r="U10" s="948"/>
      <c r="V10" s="935" t="s">
        <v>165</v>
      </c>
    </row>
    <row r="11" spans="1:22" ht="15" customHeight="1">
      <c r="A11" s="938"/>
      <c r="B11" s="938"/>
      <c r="C11" s="939"/>
      <c r="D11" s="939"/>
      <c r="E11" s="939"/>
      <c r="F11" s="939"/>
      <c r="G11" s="943"/>
      <c r="H11" s="944"/>
      <c r="I11" s="945"/>
      <c r="J11" s="936"/>
      <c r="K11" s="949"/>
      <c r="L11" s="950"/>
      <c r="M11" s="951"/>
      <c r="N11" s="936"/>
      <c r="O11" s="949"/>
      <c r="P11" s="950"/>
      <c r="Q11" s="951"/>
      <c r="R11" s="936"/>
      <c r="S11" s="949"/>
      <c r="T11" s="950"/>
      <c r="U11" s="951"/>
      <c r="V11" s="936"/>
    </row>
    <row r="12" spans="1:22" ht="15">
      <c r="A12" s="938"/>
      <c r="B12" s="938"/>
      <c r="C12" s="939"/>
      <c r="D12" s="939"/>
      <c r="E12" s="939"/>
      <c r="F12" s="939"/>
      <c r="G12" s="381" t="s">
        <v>274</v>
      </c>
      <c r="H12" s="381" t="s">
        <v>43</v>
      </c>
      <c r="I12" s="187" t="s">
        <v>44</v>
      </c>
      <c r="J12" s="937"/>
      <c r="K12" s="380" t="s">
        <v>274</v>
      </c>
      <c r="L12" s="596"/>
      <c r="M12" s="380" t="s">
        <v>44</v>
      </c>
      <c r="N12" s="937"/>
      <c r="O12" s="380" t="s">
        <v>274</v>
      </c>
      <c r="P12" s="380" t="s">
        <v>43</v>
      </c>
      <c r="Q12" s="380" t="s">
        <v>44</v>
      </c>
      <c r="R12" s="937"/>
      <c r="S12" s="380" t="s">
        <v>274</v>
      </c>
      <c r="T12" s="380" t="s">
        <v>43</v>
      </c>
      <c r="U12" s="380" t="s">
        <v>44</v>
      </c>
      <c r="V12" s="937"/>
    </row>
    <row r="13" spans="1:22" ht="15">
      <c r="A13" s="380">
        <v>1</v>
      </c>
      <c r="B13" s="380">
        <v>2</v>
      </c>
      <c r="C13" s="380">
        <v>3</v>
      </c>
      <c r="D13" s="380">
        <v>4</v>
      </c>
      <c r="E13" s="380">
        <v>5</v>
      </c>
      <c r="F13" s="380">
        <v>6</v>
      </c>
      <c r="G13" s="380">
        <v>7</v>
      </c>
      <c r="H13" s="380">
        <v>8</v>
      </c>
      <c r="I13" s="380">
        <v>9</v>
      </c>
      <c r="J13" s="380">
        <v>10</v>
      </c>
      <c r="K13" s="380">
        <v>11</v>
      </c>
      <c r="L13" s="596"/>
      <c r="M13" s="380">
        <v>13</v>
      </c>
      <c r="N13" s="380">
        <v>14</v>
      </c>
      <c r="O13" s="380">
        <v>15</v>
      </c>
      <c r="P13" s="380">
        <v>16</v>
      </c>
      <c r="Q13" s="380">
        <v>17</v>
      </c>
      <c r="R13" s="380">
        <v>18</v>
      </c>
      <c r="S13" s="380">
        <v>19</v>
      </c>
      <c r="T13" s="380">
        <v>20</v>
      </c>
      <c r="U13" s="380">
        <v>21</v>
      </c>
      <c r="V13" s="380">
        <v>22</v>
      </c>
    </row>
    <row r="14" spans="1:22" ht="15">
      <c r="A14" s="925" t="s">
        <v>228</v>
      </c>
      <c r="B14" s="926"/>
      <c r="C14" s="380"/>
      <c r="D14" s="380"/>
      <c r="E14" s="380"/>
      <c r="F14" s="380"/>
      <c r="G14" s="380"/>
      <c r="H14" s="380"/>
      <c r="I14" s="380"/>
      <c r="J14" s="380"/>
      <c r="K14" s="380"/>
      <c r="L14" s="596"/>
      <c r="M14" s="380"/>
      <c r="N14" s="380"/>
      <c r="O14" s="380"/>
      <c r="P14" s="380"/>
      <c r="Q14" s="380"/>
      <c r="R14" s="380"/>
      <c r="S14" s="380"/>
      <c r="T14" s="380"/>
      <c r="U14" s="380"/>
      <c r="V14" s="380"/>
    </row>
    <row r="15" spans="1:22" ht="15">
      <c r="A15" s="381">
        <v>1</v>
      </c>
      <c r="B15" s="417" t="s">
        <v>227</v>
      </c>
      <c r="C15" s="418">
        <v>3574.96</v>
      </c>
      <c r="D15" s="418">
        <v>1023.27</v>
      </c>
      <c r="E15" s="418">
        <v>2237.25</v>
      </c>
      <c r="F15" s="419">
        <v>43216</v>
      </c>
      <c r="G15" s="418">
        <v>14464.5282</v>
      </c>
      <c r="H15" s="418">
        <v>4537.8912</v>
      </c>
      <c r="I15" s="418">
        <v>9359.4006</v>
      </c>
      <c r="J15" s="349">
        <v>43208</v>
      </c>
      <c r="K15" s="189"/>
      <c r="L15" s="596"/>
      <c r="M15" s="189"/>
      <c r="N15" s="189"/>
      <c r="O15" s="929" t="s">
        <v>620</v>
      </c>
      <c r="P15" s="930"/>
      <c r="Q15" s="930"/>
      <c r="R15" s="930"/>
      <c r="S15" s="930"/>
      <c r="T15" s="930"/>
      <c r="U15" s="930"/>
      <c r="V15" s="931"/>
    </row>
    <row r="16" spans="1:22" ht="15" customHeight="1">
      <c r="A16" s="381">
        <v>2</v>
      </c>
      <c r="B16" s="417" t="s">
        <v>708</v>
      </c>
      <c r="C16" s="418">
        <v>2313.88</v>
      </c>
      <c r="D16" s="418">
        <v>716.64</v>
      </c>
      <c r="E16" s="418">
        <v>1473.82</v>
      </c>
      <c r="F16" s="419">
        <v>43319</v>
      </c>
      <c r="G16" s="418">
        <v>13565.393100000001</v>
      </c>
      <c r="H16" s="418">
        <v>4255.8096000000005</v>
      </c>
      <c r="I16" s="418">
        <v>8777.607300000001</v>
      </c>
      <c r="J16" s="349">
        <v>43357</v>
      </c>
      <c r="K16" s="189"/>
      <c r="L16" s="596"/>
      <c r="M16" s="189"/>
      <c r="N16" s="189"/>
      <c r="O16" s="932"/>
      <c r="P16" s="933"/>
      <c r="Q16" s="933"/>
      <c r="R16" s="933"/>
      <c r="S16" s="933"/>
      <c r="T16" s="933"/>
      <c r="U16" s="933"/>
      <c r="V16" s="934"/>
    </row>
    <row r="17" spans="1:22" ht="16.5" customHeight="1">
      <c r="A17" s="381">
        <v>4</v>
      </c>
      <c r="B17" s="417" t="s">
        <v>709</v>
      </c>
      <c r="C17" s="418">
        <v>3516.23</v>
      </c>
      <c r="D17" s="418">
        <v>1089.03</v>
      </c>
      <c r="E17" s="418">
        <v>2239.65</v>
      </c>
      <c r="F17" s="419">
        <v>43319</v>
      </c>
      <c r="G17" s="574">
        <v>415.8693</v>
      </c>
      <c r="H17" s="574">
        <v>130.4688</v>
      </c>
      <c r="I17" s="574">
        <v>269.0919</v>
      </c>
      <c r="J17" s="349">
        <v>43518</v>
      </c>
      <c r="K17" s="189"/>
      <c r="L17" s="596"/>
      <c r="M17" s="189"/>
      <c r="N17" s="189"/>
      <c r="O17" s="189"/>
      <c r="P17" s="189"/>
      <c r="Q17" s="189"/>
      <c r="R17" s="189"/>
      <c r="S17" s="189"/>
      <c r="T17" s="189"/>
      <c r="U17" s="189"/>
      <c r="V17" s="189"/>
    </row>
    <row r="18" spans="1:22" ht="27" customHeight="1">
      <c r="A18" s="381">
        <v>5</v>
      </c>
      <c r="B18" s="417" t="s">
        <v>823</v>
      </c>
      <c r="C18" s="418">
        <v>1761.4073999999998</v>
      </c>
      <c r="D18" s="418">
        <v>552.5984</v>
      </c>
      <c r="E18" s="418">
        <v>1139.7341999999999</v>
      </c>
      <c r="F18" s="419">
        <v>43319</v>
      </c>
      <c r="G18" s="189"/>
      <c r="H18" s="189"/>
      <c r="I18" s="189"/>
      <c r="J18" s="189"/>
      <c r="K18" s="189"/>
      <c r="L18" s="189">
        <f>SUM(H18:K18)</f>
        <v>0</v>
      </c>
      <c r="M18" s="189"/>
      <c r="N18" s="189"/>
      <c r="O18" s="189"/>
      <c r="P18" s="189"/>
      <c r="Q18" s="189"/>
      <c r="R18" s="189"/>
      <c r="S18" s="189"/>
      <c r="T18" s="189"/>
      <c r="U18" s="189"/>
      <c r="V18" s="189"/>
    </row>
    <row r="19" spans="1:22" ht="16.5" customHeight="1">
      <c r="A19" s="381">
        <v>6</v>
      </c>
      <c r="B19" s="417" t="s">
        <v>710</v>
      </c>
      <c r="C19" s="493">
        <v>6616.6</v>
      </c>
      <c r="D19" s="418">
        <v>1853.2</v>
      </c>
      <c r="E19" s="418">
        <v>4009.65</v>
      </c>
      <c r="F19" s="419">
        <v>43490</v>
      </c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</row>
    <row r="20" spans="1:22" ht="15">
      <c r="A20" s="925" t="s">
        <v>229</v>
      </c>
      <c r="B20" s="926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</row>
    <row r="21" spans="1:22" ht="15">
      <c r="A21" s="380">
        <v>4</v>
      </c>
      <c r="B21" s="188" t="s">
        <v>217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</row>
    <row r="22" spans="1:22" ht="15">
      <c r="A22" s="380">
        <v>5</v>
      </c>
      <c r="B22" s="188" t="s">
        <v>138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</row>
    <row r="25" spans="1:22" ht="14.25">
      <c r="A25" s="927" t="s">
        <v>179</v>
      </c>
      <c r="B25" s="927"/>
      <c r="C25" s="927"/>
      <c r="D25" s="927"/>
      <c r="E25" s="927"/>
      <c r="F25" s="927"/>
      <c r="G25" s="927"/>
      <c r="H25" s="927"/>
      <c r="I25" s="927"/>
      <c r="J25" s="927"/>
      <c r="K25" s="927"/>
      <c r="L25" s="927"/>
      <c r="M25" s="927"/>
      <c r="N25" s="927"/>
      <c r="O25" s="927"/>
      <c r="P25" s="927"/>
      <c r="Q25" s="927"/>
      <c r="R25" s="927"/>
      <c r="S25" s="927"/>
      <c r="T25" s="927"/>
      <c r="U25" s="927"/>
      <c r="V25" s="927"/>
    </row>
    <row r="26" spans="1:22" ht="14.25">
      <c r="A26" s="382"/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</row>
    <row r="27" spans="1:18" ht="12.7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</row>
    <row r="28" spans="1:22" ht="15.75" customHeight="1">
      <c r="A28" s="97" t="s">
        <v>12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28" t="s">
        <v>13</v>
      </c>
      <c r="O28" s="928"/>
      <c r="P28" s="928"/>
      <c r="Q28" s="928"/>
      <c r="R28" s="928"/>
      <c r="S28" s="928"/>
      <c r="T28" s="928"/>
      <c r="U28" s="133"/>
      <c r="V28" s="133"/>
    </row>
    <row r="29" spans="2:22" ht="15.75" customHeight="1"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928" t="s">
        <v>14</v>
      </c>
      <c r="O29" s="928"/>
      <c r="P29" s="928"/>
      <c r="Q29" s="928"/>
      <c r="R29" s="928"/>
      <c r="S29" s="928"/>
      <c r="T29" s="928"/>
      <c r="U29" s="133"/>
      <c r="V29" s="133"/>
    </row>
    <row r="30" spans="1:22" ht="15.75" customHeight="1">
      <c r="A30" s="133" t="s">
        <v>711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928" t="s">
        <v>712</v>
      </c>
      <c r="O30" s="928"/>
      <c r="P30" s="928"/>
      <c r="Q30" s="928"/>
      <c r="R30" s="928"/>
      <c r="S30" s="928"/>
      <c r="T30" s="928"/>
      <c r="U30" s="133"/>
      <c r="V30" s="133"/>
    </row>
    <row r="31" spans="1:20" ht="15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133"/>
      <c r="M31" s="86"/>
      <c r="N31" s="924" t="s">
        <v>84</v>
      </c>
      <c r="O31" s="924"/>
      <c r="P31" s="924"/>
      <c r="Q31" s="924"/>
      <c r="R31" s="924"/>
      <c r="S31" s="924"/>
      <c r="T31" s="924"/>
    </row>
    <row r="32" ht="15.75">
      <c r="L32" s="133"/>
    </row>
    <row r="33" ht="15.75">
      <c r="L33" s="133"/>
    </row>
    <row r="34" ht="15.75">
      <c r="L34" s="133"/>
    </row>
    <row r="35" ht="15.75">
      <c r="L35" s="133"/>
    </row>
    <row r="36" ht="15.75">
      <c r="L36" s="133"/>
    </row>
    <row r="37" ht="15.75">
      <c r="L37" s="133"/>
    </row>
  </sheetData>
  <sheetProtection/>
  <mergeCells count="34">
    <mergeCell ref="C3:N3"/>
    <mergeCell ref="B5:S5"/>
    <mergeCell ref="U5:V5"/>
    <mergeCell ref="A7:B7"/>
    <mergeCell ref="O7:V7"/>
    <mergeCell ref="A8:A12"/>
    <mergeCell ref="B8:B12"/>
    <mergeCell ref="C8:E8"/>
    <mergeCell ref="F8:F12"/>
    <mergeCell ref="G8:N8"/>
    <mergeCell ref="J10:J12"/>
    <mergeCell ref="K10:M11"/>
    <mergeCell ref="N10:N12"/>
    <mergeCell ref="O10:Q11"/>
    <mergeCell ref="R10:R12"/>
    <mergeCell ref="S10:U11"/>
    <mergeCell ref="V10:V12"/>
    <mergeCell ref="O8:V8"/>
    <mergeCell ref="C9:C12"/>
    <mergeCell ref="D9:D12"/>
    <mergeCell ref="E9:E12"/>
    <mergeCell ref="G9:J9"/>
    <mergeCell ref="K9:N9"/>
    <mergeCell ref="O9:R9"/>
    <mergeCell ref="S9:V9"/>
    <mergeCell ref="G10:I11"/>
    <mergeCell ref="N31:T31"/>
    <mergeCell ref="A14:B14"/>
    <mergeCell ref="A20:B20"/>
    <mergeCell ref="A25:V25"/>
    <mergeCell ref="N28:T28"/>
    <mergeCell ref="N29:T29"/>
    <mergeCell ref="N30:T30"/>
    <mergeCell ref="O15:V16"/>
  </mergeCells>
  <printOptions horizontalCentered="1"/>
  <pageMargins left="0.7086614173228347" right="0.7086614173228347" top="1.1" bottom="0" header="0.31496062992125984" footer="0.31496062992125984"/>
  <pageSetup fitToHeight="1" fitToWidth="1" horizontalDpi="600" verticalDpi="600" orientation="landscape" paperSize="9" scale="56" r:id="rId1"/>
  <colBreaks count="1" manualBreakCount="1">
    <brk id="22" max="6553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P56"/>
  <sheetViews>
    <sheetView view="pageBreakPreview" zoomScale="90" zoomScaleSheetLayoutView="90" zoomScalePageLayoutView="0" workbookViewId="0" topLeftCell="D13">
      <selection activeCell="Q13" sqref="Q1:Z16384"/>
    </sheetView>
  </sheetViews>
  <sheetFormatPr defaultColWidth="9.140625" defaultRowHeight="12.75"/>
  <cols>
    <col min="1" max="1" width="6.57421875" style="233" customWidth="1"/>
    <col min="2" max="2" width="17.28125" style="233" customWidth="1"/>
    <col min="3" max="3" width="14.7109375" style="233" customWidth="1"/>
    <col min="4" max="4" width="10.8515625" style="233" customWidth="1"/>
    <col min="5" max="5" width="8.7109375" style="233" customWidth="1"/>
    <col min="6" max="7" width="8.00390625" style="233" customWidth="1"/>
    <col min="8" max="12" width="8.140625" style="233" customWidth="1"/>
    <col min="13" max="13" width="11.00390625" style="233" customWidth="1"/>
    <col min="14" max="14" width="11.421875" style="233" customWidth="1"/>
    <col min="15" max="15" width="10.8515625" style="233" customWidth="1"/>
    <col min="16" max="16" width="20.28125" style="233" customWidth="1"/>
    <col min="17" max="16384" width="9.140625" style="233" customWidth="1"/>
  </cols>
  <sheetData>
    <row r="1" spans="4:16" ht="15">
      <c r="D1" s="854"/>
      <c r="E1" s="854"/>
      <c r="O1" s="1159" t="s">
        <v>769</v>
      </c>
      <c r="P1" s="1159"/>
    </row>
    <row r="2" spans="1:16" ht="15.75">
      <c r="A2" s="1160" t="s">
        <v>0</v>
      </c>
      <c r="B2" s="1160"/>
      <c r="C2" s="1160"/>
      <c r="D2" s="1160"/>
      <c r="E2" s="1160"/>
      <c r="F2" s="1160"/>
      <c r="G2" s="1160"/>
      <c r="H2" s="1160"/>
      <c r="I2" s="1160"/>
      <c r="J2" s="1160"/>
      <c r="K2" s="1160"/>
      <c r="L2" s="1160"/>
      <c r="M2" s="1160"/>
      <c r="N2" s="1160"/>
      <c r="O2" s="1160"/>
      <c r="P2" s="1160"/>
    </row>
    <row r="3" spans="1:16" ht="20.25">
      <c r="A3" s="1182" t="s">
        <v>859</v>
      </c>
      <c r="B3" s="1182"/>
      <c r="C3" s="1182"/>
      <c r="D3" s="1182"/>
      <c r="E3" s="1182"/>
      <c r="F3" s="1182"/>
      <c r="G3" s="1182"/>
      <c r="H3" s="1182"/>
      <c r="I3" s="1182"/>
      <c r="J3" s="1182"/>
      <c r="K3" s="1182"/>
      <c r="L3" s="1182"/>
      <c r="M3" s="1182"/>
      <c r="N3" s="1182"/>
      <c r="O3" s="1182"/>
      <c r="P3" s="1182"/>
    </row>
    <row r="5" spans="1:16" s="245" customFormat="1" ht="15">
      <c r="A5" s="1187" t="s">
        <v>855</v>
      </c>
      <c r="B5" s="1187"/>
      <c r="C5" s="1187"/>
      <c r="D5" s="1187"/>
      <c r="E5" s="1187"/>
      <c r="F5" s="1187"/>
      <c r="G5" s="1187"/>
      <c r="H5" s="1187"/>
      <c r="I5" s="1187"/>
      <c r="J5" s="1187"/>
      <c r="K5" s="1187"/>
      <c r="L5" s="1187"/>
      <c r="M5" s="1187"/>
      <c r="N5" s="1187"/>
      <c r="O5" s="1187"/>
      <c r="P5" s="1187"/>
    </row>
    <row r="6" spans="1:16" ht="12.75">
      <c r="A6" s="1158"/>
      <c r="B6" s="1158"/>
      <c r="C6" s="1158"/>
      <c r="D6" s="1158"/>
      <c r="E6" s="1158"/>
      <c r="F6" s="1158"/>
      <c r="G6" s="1158"/>
      <c r="H6" s="1158"/>
      <c r="I6" s="1158"/>
      <c r="J6" s="1158"/>
      <c r="K6" s="1158"/>
      <c r="L6" s="1158"/>
      <c r="M6" s="1158"/>
      <c r="N6" s="1158"/>
      <c r="O6" s="1158"/>
      <c r="P6" s="1158"/>
    </row>
    <row r="7" spans="1:16" ht="12.75">
      <c r="A7" s="35" t="s">
        <v>634</v>
      </c>
      <c r="B7" s="35"/>
      <c r="D7" s="241"/>
      <c r="H7" s="1164"/>
      <c r="I7" s="1164"/>
      <c r="J7" s="1164"/>
      <c r="K7" s="1164"/>
      <c r="L7" s="1164"/>
      <c r="M7" s="1164"/>
      <c r="N7" s="1164"/>
      <c r="O7" s="1164"/>
      <c r="P7" s="1164"/>
    </row>
    <row r="8" spans="1:16" ht="30.75" customHeight="1">
      <c r="A8" s="1165" t="s">
        <v>2</v>
      </c>
      <c r="B8" s="1165" t="s">
        <v>3</v>
      </c>
      <c r="C8" s="963" t="s">
        <v>491</v>
      </c>
      <c r="D8" s="1169" t="s">
        <v>85</v>
      </c>
      <c r="E8" s="1166" t="s">
        <v>86</v>
      </c>
      <c r="F8" s="1167"/>
      <c r="G8" s="1167"/>
      <c r="H8" s="1168"/>
      <c r="I8" s="1166" t="s">
        <v>92</v>
      </c>
      <c r="J8" s="1167"/>
      <c r="K8" s="1167"/>
      <c r="L8" s="1168"/>
      <c r="M8" s="1169" t="s">
        <v>195</v>
      </c>
      <c r="N8" s="1183"/>
      <c r="O8" s="1184"/>
      <c r="P8" s="1165" t="s">
        <v>154</v>
      </c>
    </row>
    <row r="9" spans="1:16" ht="26.25" customHeight="1">
      <c r="A9" s="1165"/>
      <c r="B9" s="1165"/>
      <c r="C9" s="964"/>
      <c r="D9" s="1170"/>
      <c r="E9" s="234" t="s">
        <v>196</v>
      </c>
      <c r="F9" s="234" t="s">
        <v>117</v>
      </c>
      <c r="G9" s="234" t="s">
        <v>118</v>
      </c>
      <c r="H9" s="234" t="s">
        <v>442</v>
      </c>
      <c r="I9" s="234" t="s">
        <v>144</v>
      </c>
      <c r="J9" s="234" t="s">
        <v>146</v>
      </c>
      <c r="K9" s="234" t="s">
        <v>148</v>
      </c>
      <c r="L9" s="234" t="s">
        <v>441</v>
      </c>
      <c r="M9" s="234" t="s">
        <v>166</v>
      </c>
      <c r="N9" s="235" t="s">
        <v>153</v>
      </c>
      <c r="O9" s="242" t="s">
        <v>19</v>
      </c>
      <c r="P9" s="1165"/>
    </row>
    <row r="10" spans="1:16" s="240" customFormat="1" ht="12.75">
      <c r="A10" s="234">
        <v>1</v>
      </c>
      <c r="B10" s="234">
        <v>2</v>
      </c>
      <c r="C10" s="234">
        <v>3</v>
      </c>
      <c r="D10" s="283">
        <v>4</v>
      </c>
      <c r="E10" s="234">
        <v>5</v>
      </c>
      <c r="F10" s="234">
        <v>6</v>
      </c>
      <c r="G10" s="234">
        <v>7</v>
      </c>
      <c r="H10" s="234">
        <v>8</v>
      </c>
      <c r="I10" s="234">
        <v>9</v>
      </c>
      <c r="J10" s="234">
        <v>10</v>
      </c>
      <c r="K10" s="234">
        <v>11</v>
      </c>
      <c r="L10" s="234">
        <v>12</v>
      </c>
      <c r="M10" s="234">
        <v>13</v>
      </c>
      <c r="N10" s="234">
        <v>14</v>
      </c>
      <c r="O10" s="234">
        <v>15</v>
      </c>
      <c r="P10" s="234">
        <v>16</v>
      </c>
    </row>
    <row r="11" spans="1:16" s="240" customFormat="1" ht="12.75">
      <c r="A11" s="262">
        <v>1</v>
      </c>
      <c r="B11" s="195" t="s">
        <v>841</v>
      </c>
      <c r="C11" s="530">
        <v>0</v>
      </c>
      <c r="D11" s="528">
        <v>0</v>
      </c>
      <c r="E11" s="337">
        <f>C11*D11*100/1000000</f>
        <v>0</v>
      </c>
      <c r="F11" s="337">
        <f aca="true" t="shared" si="0" ref="F11:F37">E11</f>
        <v>0</v>
      </c>
      <c r="G11" s="334">
        <v>0</v>
      </c>
      <c r="H11" s="334">
        <v>0</v>
      </c>
      <c r="I11" s="338">
        <f>J11</f>
        <v>0</v>
      </c>
      <c r="J11" s="338">
        <f>F11*3000/100000</f>
        <v>0</v>
      </c>
      <c r="K11" s="335">
        <v>0</v>
      </c>
      <c r="L11" s="335">
        <v>0</v>
      </c>
      <c r="M11" s="338">
        <f>C11*D11*2.67/100000</f>
        <v>0</v>
      </c>
      <c r="N11" s="338">
        <f>C11*D11*2.46/100000</f>
        <v>0</v>
      </c>
      <c r="O11" s="338">
        <f>SUM(M11:N11)</f>
        <v>0</v>
      </c>
      <c r="P11" s="338">
        <f>F11*750/100000</f>
        <v>0</v>
      </c>
    </row>
    <row r="12" spans="1:16" s="240" customFormat="1" ht="12.75">
      <c r="A12" s="260">
        <v>2</v>
      </c>
      <c r="B12" s="195" t="s">
        <v>833</v>
      </c>
      <c r="C12" s="530">
        <v>0</v>
      </c>
      <c r="D12" s="528">
        <v>0</v>
      </c>
      <c r="E12" s="337">
        <f aca="true" t="shared" si="1" ref="E12:E37">C12*D12*100/1000000</f>
        <v>0</v>
      </c>
      <c r="F12" s="337">
        <f t="shared" si="0"/>
        <v>0</v>
      </c>
      <c r="G12" s="334">
        <v>0</v>
      </c>
      <c r="H12" s="334">
        <v>0</v>
      </c>
      <c r="I12" s="338">
        <f aca="true" t="shared" si="2" ref="I12:I37">J12</f>
        <v>0</v>
      </c>
      <c r="J12" s="338">
        <f aca="true" t="shared" si="3" ref="J12:J37">F12*3000/100000</f>
        <v>0</v>
      </c>
      <c r="K12" s="335">
        <v>0</v>
      </c>
      <c r="L12" s="335">
        <v>0</v>
      </c>
      <c r="M12" s="338">
        <f aca="true" t="shared" si="4" ref="M12:M37">C12*D12*2.67/100000</f>
        <v>0</v>
      </c>
      <c r="N12" s="338">
        <f aca="true" t="shared" si="5" ref="N12:N37">C12*D12*2.46/100000</f>
        <v>0</v>
      </c>
      <c r="O12" s="338">
        <f aca="true" t="shared" si="6" ref="O12:O37">SUM(M12:N12)</f>
        <v>0</v>
      </c>
      <c r="P12" s="338">
        <f aca="true" t="shared" si="7" ref="P12:P37">F12*750/100000</f>
        <v>0</v>
      </c>
    </row>
    <row r="13" spans="1:16" s="240" customFormat="1" ht="12.75">
      <c r="A13" s="260">
        <v>3</v>
      </c>
      <c r="B13" s="195" t="s">
        <v>839</v>
      </c>
      <c r="C13" s="531">
        <v>0</v>
      </c>
      <c r="D13" s="528">
        <v>0</v>
      </c>
      <c r="E13" s="337">
        <f t="shared" si="1"/>
        <v>0</v>
      </c>
      <c r="F13" s="337">
        <f t="shared" si="0"/>
        <v>0</v>
      </c>
      <c r="G13" s="334">
        <v>0</v>
      </c>
      <c r="H13" s="334">
        <v>0</v>
      </c>
      <c r="I13" s="338">
        <f t="shared" si="2"/>
        <v>0</v>
      </c>
      <c r="J13" s="338">
        <f t="shared" si="3"/>
        <v>0</v>
      </c>
      <c r="K13" s="335">
        <v>0</v>
      </c>
      <c r="L13" s="335">
        <v>0</v>
      </c>
      <c r="M13" s="338">
        <f t="shared" si="4"/>
        <v>0</v>
      </c>
      <c r="N13" s="338">
        <f t="shared" si="5"/>
        <v>0</v>
      </c>
      <c r="O13" s="338">
        <f t="shared" si="6"/>
        <v>0</v>
      </c>
      <c r="P13" s="338">
        <f t="shared" si="7"/>
        <v>0</v>
      </c>
    </row>
    <row r="14" spans="1:16" s="240" customFormat="1" ht="12.75">
      <c r="A14" s="260">
        <v>4</v>
      </c>
      <c r="B14" s="195" t="s">
        <v>743</v>
      </c>
      <c r="C14" s="531">
        <v>0</v>
      </c>
      <c r="D14" s="701">
        <v>0</v>
      </c>
      <c r="E14" s="337">
        <f t="shared" si="1"/>
        <v>0</v>
      </c>
      <c r="F14" s="337">
        <f t="shared" si="0"/>
        <v>0</v>
      </c>
      <c r="G14" s="334">
        <v>0</v>
      </c>
      <c r="H14" s="334">
        <v>0</v>
      </c>
      <c r="I14" s="338">
        <f t="shared" si="2"/>
        <v>0</v>
      </c>
      <c r="J14" s="338">
        <f t="shared" si="3"/>
        <v>0</v>
      </c>
      <c r="K14" s="335">
        <v>0</v>
      </c>
      <c r="L14" s="335">
        <v>0</v>
      </c>
      <c r="M14" s="338">
        <f t="shared" si="4"/>
        <v>0</v>
      </c>
      <c r="N14" s="338">
        <f t="shared" si="5"/>
        <v>0</v>
      </c>
      <c r="O14" s="338">
        <f t="shared" si="6"/>
        <v>0</v>
      </c>
      <c r="P14" s="338">
        <f t="shared" si="7"/>
        <v>0</v>
      </c>
    </row>
    <row r="15" spans="1:16" s="240" customFormat="1" ht="12.75">
      <c r="A15" s="260">
        <v>5</v>
      </c>
      <c r="B15" s="195" t="s">
        <v>748</v>
      </c>
      <c r="C15" s="530">
        <v>0</v>
      </c>
      <c r="D15" s="701">
        <v>0</v>
      </c>
      <c r="E15" s="337">
        <f t="shared" si="1"/>
        <v>0</v>
      </c>
      <c r="F15" s="337">
        <f t="shared" si="0"/>
        <v>0</v>
      </c>
      <c r="G15" s="334">
        <v>0</v>
      </c>
      <c r="H15" s="334">
        <v>0</v>
      </c>
      <c r="I15" s="338">
        <f t="shared" si="2"/>
        <v>0</v>
      </c>
      <c r="J15" s="338">
        <f t="shared" si="3"/>
        <v>0</v>
      </c>
      <c r="K15" s="335">
        <v>0</v>
      </c>
      <c r="L15" s="335">
        <v>0</v>
      </c>
      <c r="M15" s="338">
        <f t="shared" si="4"/>
        <v>0</v>
      </c>
      <c r="N15" s="338">
        <f t="shared" si="5"/>
        <v>0</v>
      </c>
      <c r="O15" s="338">
        <f t="shared" si="6"/>
        <v>0</v>
      </c>
      <c r="P15" s="338">
        <f t="shared" si="7"/>
        <v>0</v>
      </c>
    </row>
    <row r="16" spans="1:16" s="240" customFormat="1" ht="12.75">
      <c r="A16" s="260">
        <v>6</v>
      </c>
      <c r="B16" s="195" t="s">
        <v>747</v>
      </c>
      <c r="C16" s="530">
        <v>0</v>
      </c>
      <c r="D16" s="701">
        <v>0</v>
      </c>
      <c r="E16" s="337">
        <f t="shared" si="1"/>
        <v>0</v>
      </c>
      <c r="F16" s="337">
        <f t="shared" si="0"/>
        <v>0</v>
      </c>
      <c r="G16" s="334">
        <v>0</v>
      </c>
      <c r="H16" s="334">
        <v>0</v>
      </c>
      <c r="I16" s="338">
        <f t="shared" si="2"/>
        <v>0</v>
      </c>
      <c r="J16" s="338">
        <f t="shared" si="3"/>
        <v>0</v>
      </c>
      <c r="K16" s="335">
        <v>0</v>
      </c>
      <c r="L16" s="335">
        <v>0</v>
      </c>
      <c r="M16" s="338">
        <f t="shared" si="4"/>
        <v>0</v>
      </c>
      <c r="N16" s="338">
        <f t="shared" si="5"/>
        <v>0</v>
      </c>
      <c r="O16" s="338">
        <f t="shared" si="6"/>
        <v>0</v>
      </c>
      <c r="P16" s="338">
        <f t="shared" si="7"/>
        <v>0</v>
      </c>
    </row>
    <row r="17" spans="1:16" s="240" customFormat="1" ht="12.75">
      <c r="A17" s="260">
        <v>7</v>
      </c>
      <c r="B17" s="195" t="s">
        <v>737</v>
      </c>
      <c r="C17" s="531">
        <v>0</v>
      </c>
      <c r="D17" s="701">
        <v>0</v>
      </c>
      <c r="E17" s="337">
        <f t="shared" si="1"/>
        <v>0</v>
      </c>
      <c r="F17" s="337">
        <f t="shared" si="0"/>
        <v>0</v>
      </c>
      <c r="G17" s="334">
        <v>0</v>
      </c>
      <c r="H17" s="334">
        <v>0</v>
      </c>
      <c r="I17" s="338">
        <f t="shared" si="2"/>
        <v>0</v>
      </c>
      <c r="J17" s="338">
        <f t="shared" si="3"/>
        <v>0</v>
      </c>
      <c r="K17" s="335">
        <v>0</v>
      </c>
      <c r="L17" s="335">
        <v>0</v>
      </c>
      <c r="M17" s="338">
        <f t="shared" si="4"/>
        <v>0</v>
      </c>
      <c r="N17" s="338">
        <f t="shared" si="5"/>
        <v>0</v>
      </c>
      <c r="O17" s="338">
        <f t="shared" si="6"/>
        <v>0</v>
      </c>
      <c r="P17" s="338">
        <f t="shared" si="7"/>
        <v>0</v>
      </c>
    </row>
    <row r="18" spans="1:16" s="240" customFormat="1" ht="12.75">
      <c r="A18" s="260">
        <v>8</v>
      </c>
      <c r="B18" s="195" t="s">
        <v>749</v>
      </c>
      <c r="C18" s="531">
        <v>0</v>
      </c>
      <c r="D18" s="701">
        <v>0</v>
      </c>
      <c r="E18" s="337">
        <f t="shared" si="1"/>
        <v>0</v>
      </c>
      <c r="F18" s="337">
        <f t="shared" si="0"/>
        <v>0</v>
      </c>
      <c r="G18" s="334">
        <v>0</v>
      </c>
      <c r="H18" s="334">
        <v>0</v>
      </c>
      <c r="I18" s="338">
        <f t="shared" si="2"/>
        <v>0</v>
      </c>
      <c r="J18" s="338">
        <f t="shared" si="3"/>
        <v>0</v>
      </c>
      <c r="K18" s="335">
        <v>0</v>
      </c>
      <c r="L18" s="335">
        <v>0</v>
      </c>
      <c r="M18" s="338">
        <f t="shared" si="4"/>
        <v>0</v>
      </c>
      <c r="N18" s="338">
        <f t="shared" si="5"/>
        <v>0</v>
      </c>
      <c r="O18" s="338">
        <f t="shared" si="6"/>
        <v>0</v>
      </c>
      <c r="P18" s="338">
        <f t="shared" si="7"/>
        <v>0</v>
      </c>
    </row>
    <row r="19" spans="1:16" s="240" customFormat="1" ht="12.75">
      <c r="A19" s="260">
        <v>9</v>
      </c>
      <c r="B19" s="195" t="s">
        <v>834</v>
      </c>
      <c r="C19" s="530">
        <v>0</v>
      </c>
      <c r="D19" s="701">
        <v>0</v>
      </c>
      <c r="E19" s="337">
        <f t="shared" si="1"/>
        <v>0</v>
      </c>
      <c r="F19" s="337">
        <f t="shared" si="0"/>
        <v>0</v>
      </c>
      <c r="G19" s="334">
        <v>0</v>
      </c>
      <c r="H19" s="334">
        <v>0</v>
      </c>
      <c r="I19" s="338">
        <f t="shared" si="2"/>
        <v>0</v>
      </c>
      <c r="J19" s="338">
        <f t="shared" si="3"/>
        <v>0</v>
      </c>
      <c r="K19" s="335">
        <v>0</v>
      </c>
      <c r="L19" s="335">
        <v>0</v>
      </c>
      <c r="M19" s="338">
        <f t="shared" si="4"/>
        <v>0</v>
      </c>
      <c r="N19" s="338">
        <f t="shared" si="5"/>
        <v>0</v>
      </c>
      <c r="O19" s="338">
        <f t="shared" si="6"/>
        <v>0</v>
      </c>
      <c r="P19" s="338">
        <f t="shared" si="7"/>
        <v>0</v>
      </c>
    </row>
    <row r="20" spans="1:16" s="240" customFormat="1" ht="12.75">
      <c r="A20" s="260">
        <v>10</v>
      </c>
      <c r="B20" s="195" t="s">
        <v>739</v>
      </c>
      <c r="C20" s="530">
        <v>0</v>
      </c>
      <c r="D20" s="701">
        <v>0</v>
      </c>
      <c r="E20" s="337">
        <f t="shared" si="1"/>
        <v>0</v>
      </c>
      <c r="F20" s="337">
        <f t="shared" si="0"/>
        <v>0</v>
      </c>
      <c r="G20" s="334">
        <v>0</v>
      </c>
      <c r="H20" s="334">
        <v>0</v>
      </c>
      <c r="I20" s="338">
        <f t="shared" si="2"/>
        <v>0</v>
      </c>
      <c r="J20" s="338">
        <f t="shared" si="3"/>
        <v>0</v>
      </c>
      <c r="K20" s="335">
        <v>0</v>
      </c>
      <c r="L20" s="335">
        <v>0</v>
      </c>
      <c r="M20" s="338">
        <f t="shared" si="4"/>
        <v>0</v>
      </c>
      <c r="N20" s="338">
        <f t="shared" si="5"/>
        <v>0</v>
      </c>
      <c r="O20" s="338">
        <f t="shared" si="6"/>
        <v>0</v>
      </c>
      <c r="P20" s="338">
        <f t="shared" si="7"/>
        <v>0</v>
      </c>
    </row>
    <row r="21" spans="1:16" s="240" customFormat="1" ht="12.75">
      <c r="A21" s="260">
        <v>11</v>
      </c>
      <c r="B21" s="195" t="s">
        <v>840</v>
      </c>
      <c r="C21" s="531">
        <v>0</v>
      </c>
      <c r="D21" s="701">
        <v>0</v>
      </c>
      <c r="E21" s="337">
        <f t="shared" si="1"/>
        <v>0</v>
      </c>
      <c r="F21" s="337">
        <f t="shared" si="0"/>
        <v>0</v>
      </c>
      <c r="G21" s="334">
        <v>0</v>
      </c>
      <c r="H21" s="334">
        <v>0</v>
      </c>
      <c r="I21" s="338">
        <f t="shared" si="2"/>
        <v>0</v>
      </c>
      <c r="J21" s="338">
        <f t="shared" si="3"/>
        <v>0</v>
      </c>
      <c r="K21" s="335">
        <v>0</v>
      </c>
      <c r="L21" s="335">
        <v>0</v>
      </c>
      <c r="M21" s="338">
        <f t="shared" si="4"/>
        <v>0</v>
      </c>
      <c r="N21" s="338">
        <f t="shared" si="5"/>
        <v>0</v>
      </c>
      <c r="O21" s="338">
        <f t="shared" si="6"/>
        <v>0</v>
      </c>
      <c r="P21" s="338">
        <f t="shared" si="7"/>
        <v>0</v>
      </c>
    </row>
    <row r="22" spans="1:16" s="240" customFormat="1" ht="12.75">
      <c r="A22" s="260">
        <v>12</v>
      </c>
      <c r="B22" s="195" t="s">
        <v>837</v>
      </c>
      <c r="C22" s="531">
        <v>0</v>
      </c>
      <c r="D22" s="701">
        <v>0</v>
      </c>
      <c r="E22" s="337">
        <f t="shared" si="1"/>
        <v>0</v>
      </c>
      <c r="F22" s="337">
        <f t="shared" si="0"/>
        <v>0</v>
      </c>
      <c r="G22" s="334">
        <v>0</v>
      </c>
      <c r="H22" s="334">
        <v>0</v>
      </c>
      <c r="I22" s="338">
        <f t="shared" si="2"/>
        <v>0</v>
      </c>
      <c r="J22" s="338">
        <f t="shared" si="3"/>
        <v>0</v>
      </c>
      <c r="K22" s="335">
        <v>0</v>
      </c>
      <c r="L22" s="335">
        <v>0</v>
      </c>
      <c r="M22" s="338">
        <f t="shared" si="4"/>
        <v>0</v>
      </c>
      <c r="N22" s="338">
        <f t="shared" si="5"/>
        <v>0</v>
      </c>
      <c r="O22" s="338">
        <f t="shared" si="6"/>
        <v>0</v>
      </c>
      <c r="P22" s="338">
        <f t="shared" si="7"/>
        <v>0</v>
      </c>
    </row>
    <row r="23" spans="1:16" s="240" customFormat="1" ht="12.75">
      <c r="A23" s="260">
        <v>13</v>
      </c>
      <c r="B23" s="195" t="s">
        <v>831</v>
      </c>
      <c r="C23" s="530">
        <v>0</v>
      </c>
      <c r="D23" s="701">
        <v>0</v>
      </c>
      <c r="E23" s="337">
        <f t="shared" si="1"/>
        <v>0</v>
      </c>
      <c r="F23" s="337">
        <f t="shared" si="0"/>
        <v>0</v>
      </c>
      <c r="G23" s="334">
        <v>0</v>
      </c>
      <c r="H23" s="334">
        <v>0</v>
      </c>
      <c r="I23" s="338">
        <f t="shared" si="2"/>
        <v>0</v>
      </c>
      <c r="J23" s="338">
        <f t="shared" si="3"/>
        <v>0</v>
      </c>
      <c r="K23" s="335">
        <v>0</v>
      </c>
      <c r="L23" s="335">
        <v>0</v>
      </c>
      <c r="M23" s="338">
        <f t="shared" si="4"/>
        <v>0</v>
      </c>
      <c r="N23" s="338">
        <f t="shared" si="5"/>
        <v>0</v>
      </c>
      <c r="O23" s="338">
        <f t="shared" si="6"/>
        <v>0</v>
      </c>
      <c r="P23" s="338">
        <f t="shared" si="7"/>
        <v>0</v>
      </c>
    </row>
    <row r="24" spans="1:16" s="240" customFormat="1" ht="12.75">
      <c r="A24" s="260">
        <v>14</v>
      </c>
      <c r="B24" s="195" t="s">
        <v>740</v>
      </c>
      <c r="C24" s="530">
        <v>0</v>
      </c>
      <c r="D24" s="701">
        <v>0</v>
      </c>
      <c r="E24" s="337">
        <f t="shared" si="1"/>
        <v>0</v>
      </c>
      <c r="F24" s="337">
        <f t="shared" si="0"/>
        <v>0</v>
      </c>
      <c r="G24" s="334">
        <v>0</v>
      </c>
      <c r="H24" s="334">
        <v>0</v>
      </c>
      <c r="I24" s="338">
        <f t="shared" si="2"/>
        <v>0</v>
      </c>
      <c r="J24" s="338">
        <f t="shared" si="3"/>
        <v>0</v>
      </c>
      <c r="K24" s="335">
        <v>0</v>
      </c>
      <c r="L24" s="335">
        <v>0</v>
      </c>
      <c r="M24" s="338">
        <f t="shared" si="4"/>
        <v>0</v>
      </c>
      <c r="N24" s="338">
        <f t="shared" si="5"/>
        <v>0</v>
      </c>
      <c r="O24" s="338">
        <f t="shared" si="6"/>
        <v>0</v>
      </c>
      <c r="P24" s="338">
        <f t="shared" si="7"/>
        <v>0</v>
      </c>
    </row>
    <row r="25" spans="1:16" ht="12.75">
      <c r="A25" s="260">
        <v>15</v>
      </c>
      <c r="B25" s="195" t="s">
        <v>835</v>
      </c>
      <c r="C25" s="531">
        <v>0</v>
      </c>
      <c r="D25" s="701">
        <v>0</v>
      </c>
      <c r="E25" s="337">
        <f t="shared" si="1"/>
        <v>0</v>
      </c>
      <c r="F25" s="337">
        <f t="shared" si="0"/>
        <v>0</v>
      </c>
      <c r="G25" s="334">
        <v>0</v>
      </c>
      <c r="H25" s="334">
        <v>0</v>
      </c>
      <c r="I25" s="338">
        <f t="shared" si="2"/>
        <v>0</v>
      </c>
      <c r="J25" s="338">
        <f t="shared" si="3"/>
        <v>0</v>
      </c>
      <c r="K25" s="335">
        <v>0</v>
      </c>
      <c r="L25" s="335">
        <v>0</v>
      </c>
      <c r="M25" s="338">
        <f t="shared" si="4"/>
        <v>0</v>
      </c>
      <c r="N25" s="338">
        <f t="shared" si="5"/>
        <v>0</v>
      </c>
      <c r="O25" s="338">
        <f t="shared" si="6"/>
        <v>0</v>
      </c>
      <c r="P25" s="338">
        <f t="shared" si="7"/>
        <v>0</v>
      </c>
    </row>
    <row r="26" spans="1:16" ht="12.75">
      <c r="A26" s="260">
        <v>16</v>
      </c>
      <c r="B26" s="195" t="s">
        <v>832</v>
      </c>
      <c r="C26" s="531">
        <v>0</v>
      </c>
      <c r="D26" s="701">
        <v>0</v>
      </c>
      <c r="E26" s="337">
        <f t="shared" si="1"/>
        <v>0</v>
      </c>
      <c r="F26" s="337">
        <f t="shared" si="0"/>
        <v>0</v>
      </c>
      <c r="G26" s="334">
        <v>0</v>
      </c>
      <c r="H26" s="334">
        <v>0</v>
      </c>
      <c r="I26" s="338">
        <f t="shared" si="2"/>
        <v>0</v>
      </c>
      <c r="J26" s="338">
        <f t="shared" si="3"/>
        <v>0</v>
      </c>
      <c r="K26" s="335">
        <v>0</v>
      </c>
      <c r="L26" s="335">
        <v>0</v>
      </c>
      <c r="M26" s="338">
        <f t="shared" si="4"/>
        <v>0</v>
      </c>
      <c r="N26" s="338">
        <f t="shared" si="5"/>
        <v>0</v>
      </c>
      <c r="O26" s="338">
        <f t="shared" si="6"/>
        <v>0</v>
      </c>
      <c r="P26" s="338">
        <f t="shared" si="7"/>
        <v>0</v>
      </c>
    </row>
    <row r="27" spans="1:16" ht="12.75">
      <c r="A27" s="260">
        <v>17</v>
      </c>
      <c r="B27" s="195" t="s">
        <v>733</v>
      </c>
      <c r="C27" s="530">
        <v>0</v>
      </c>
      <c r="D27" s="701">
        <v>0</v>
      </c>
      <c r="E27" s="337">
        <f t="shared" si="1"/>
        <v>0</v>
      </c>
      <c r="F27" s="337">
        <f t="shared" si="0"/>
        <v>0</v>
      </c>
      <c r="G27" s="334">
        <v>0</v>
      </c>
      <c r="H27" s="334">
        <v>0</v>
      </c>
      <c r="I27" s="338">
        <f t="shared" si="2"/>
        <v>0</v>
      </c>
      <c r="J27" s="338">
        <f t="shared" si="3"/>
        <v>0</v>
      </c>
      <c r="K27" s="335">
        <v>0</v>
      </c>
      <c r="L27" s="335">
        <v>0</v>
      </c>
      <c r="M27" s="338">
        <f t="shared" si="4"/>
        <v>0</v>
      </c>
      <c r="N27" s="338">
        <f t="shared" si="5"/>
        <v>0</v>
      </c>
      <c r="O27" s="338">
        <f t="shared" si="6"/>
        <v>0</v>
      </c>
      <c r="P27" s="338">
        <f t="shared" si="7"/>
        <v>0</v>
      </c>
    </row>
    <row r="28" spans="1:16" ht="12.75">
      <c r="A28" s="260">
        <v>18</v>
      </c>
      <c r="B28" s="195" t="s">
        <v>735</v>
      </c>
      <c r="C28" s="530">
        <v>0</v>
      </c>
      <c r="D28" s="701">
        <v>0</v>
      </c>
      <c r="E28" s="337">
        <f t="shared" si="1"/>
        <v>0</v>
      </c>
      <c r="F28" s="337">
        <f t="shared" si="0"/>
        <v>0</v>
      </c>
      <c r="G28" s="334">
        <v>0</v>
      </c>
      <c r="H28" s="334">
        <v>0</v>
      </c>
      <c r="I28" s="338">
        <f t="shared" si="2"/>
        <v>0</v>
      </c>
      <c r="J28" s="338">
        <f t="shared" si="3"/>
        <v>0</v>
      </c>
      <c r="K28" s="335">
        <v>0</v>
      </c>
      <c r="L28" s="335">
        <v>0</v>
      </c>
      <c r="M28" s="338">
        <f t="shared" si="4"/>
        <v>0</v>
      </c>
      <c r="N28" s="338">
        <f t="shared" si="5"/>
        <v>0</v>
      </c>
      <c r="O28" s="338">
        <f t="shared" si="6"/>
        <v>0</v>
      </c>
      <c r="P28" s="338">
        <f t="shared" si="7"/>
        <v>0</v>
      </c>
    </row>
    <row r="29" spans="1:16" ht="12.75">
      <c r="A29" s="260">
        <v>19</v>
      </c>
      <c r="B29" s="195" t="s">
        <v>732</v>
      </c>
      <c r="C29" s="531">
        <v>0</v>
      </c>
      <c r="D29" s="701">
        <v>0</v>
      </c>
      <c r="E29" s="337">
        <f t="shared" si="1"/>
        <v>0</v>
      </c>
      <c r="F29" s="337">
        <f t="shared" si="0"/>
        <v>0</v>
      </c>
      <c r="G29" s="334">
        <v>0</v>
      </c>
      <c r="H29" s="334">
        <v>0</v>
      </c>
      <c r="I29" s="338">
        <f t="shared" si="2"/>
        <v>0</v>
      </c>
      <c r="J29" s="338">
        <f t="shared" si="3"/>
        <v>0</v>
      </c>
      <c r="K29" s="335">
        <v>0</v>
      </c>
      <c r="L29" s="335">
        <v>0</v>
      </c>
      <c r="M29" s="338">
        <f t="shared" si="4"/>
        <v>0</v>
      </c>
      <c r="N29" s="338">
        <f t="shared" si="5"/>
        <v>0</v>
      </c>
      <c r="O29" s="338">
        <f t="shared" si="6"/>
        <v>0</v>
      </c>
      <c r="P29" s="338">
        <f t="shared" si="7"/>
        <v>0</v>
      </c>
    </row>
    <row r="30" spans="1:16" ht="12.75">
      <c r="A30" s="260">
        <v>20</v>
      </c>
      <c r="B30" s="195" t="s">
        <v>836</v>
      </c>
      <c r="C30" s="531">
        <v>0</v>
      </c>
      <c r="D30" s="701">
        <v>0</v>
      </c>
      <c r="E30" s="337">
        <f t="shared" si="1"/>
        <v>0</v>
      </c>
      <c r="F30" s="337">
        <f t="shared" si="0"/>
        <v>0</v>
      </c>
      <c r="G30" s="334">
        <v>0</v>
      </c>
      <c r="H30" s="334">
        <v>0</v>
      </c>
      <c r="I30" s="338">
        <f t="shared" si="2"/>
        <v>0</v>
      </c>
      <c r="J30" s="338">
        <f t="shared" si="3"/>
        <v>0</v>
      </c>
      <c r="K30" s="335">
        <v>0</v>
      </c>
      <c r="L30" s="335">
        <v>0</v>
      </c>
      <c r="M30" s="338">
        <f t="shared" si="4"/>
        <v>0</v>
      </c>
      <c r="N30" s="338">
        <f t="shared" si="5"/>
        <v>0</v>
      </c>
      <c r="O30" s="338">
        <f t="shared" si="6"/>
        <v>0</v>
      </c>
      <c r="P30" s="338">
        <f t="shared" si="7"/>
        <v>0</v>
      </c>
    </row>
    <row r="31" spans="1:16" ht="12.75">
      <c r="A31" s="260">
        <v>21</v>
      </c>
      <c r="B31" s="195" t="s">
        <v>729</v>
      </c>
      <c r="C31" s="530">
        <v>0</v>
      </c>
      <c r="D31" s="701">
        <v>0</v>
      </c>
      <c r="E31" s="337">
        <f t="shared" si="1"/>
        <v>0</v>
      </c>
      <c r="F31" s="337">
        <f t="shared" si="0"/>
        <v>0</v>
      </c>
      <c r="G31" s="334">
        <v>0</v>
      </c>
      <c r="H31" s="334">
        <v>0</v>
      </c>
      <c r="I31" s="338">
        <f t="shared" si="2"/>
        <v>0</v>
      </c>
      <c r="J31" s="338">
        <f t="shared" si="3"/>
        <v>0</v>
      </c>
      <c r="K31" s="335">
        <v>0</v>
      </c>
      <c r="L31" s="335">
        <v>0</v>
      </c>
      <c r="M31" s="338">
        <f t="shared" si="4"/>
        <v>0</v>
      </c>
      <c r="N31" s="338">
        <f t="shared" si="5"/>
        <v>0</v>
      </c>
      <c r="O31" s="338">
        <f t="shared" si="6"/>
        <v>0</v>
      </c>
      <c r="P31" s="338">
        <f t="shared" si="7"/>
        <v>0</v>
      </c>
    </row>
    <row r="32" spans="1:16" ht="12.75">
      <c r="A32" s="260">
        <v>22</v>
      </c>
      <c r="B32" s="195" t="s">
        <v>746</v>
      </c>
      <c r="C32" s="530">
        <v>0</v>
      </c>
      <c r="D32" s="701">
        <v>0</v>
      </c>
      <c r="E32" s="337">
        <f t="shared" si="1"/>
        <v>0</v>
      </c>
      <c r="F32" s="337">
        <f t="shared" si="0"/>
        <v>0</v>
      </c>
      <c r="G32" s="334">
        <v>0</v>
      </c>
      <c r="H32" s="334">
        <v>0</v>
      </c>
      <c r="I32" s="338">
        <f t="shared" si="2"/>
        <v>0</v>
      </c>
      <c r="J32" s="338">
        <f t="shared" si="3"/>
        <v>0</v>
      </c>
      <c r="K32" s="335">
        <v>0</v>
      </c>
      <c r="L32" s="335">
        <v>0</v>
      </c>
      <c r="M32" s="338">
        <f t="shared" si="4"/>
        <v>0</v>
      </c>
      <c r="N32" s="338">
        <f t="shared" si="5"/>
        <v>0</v>
      </c>
      <c r="O32" s="338">
        <f t="shared" si="6"/>
        <v>0</v>
      </c>
      <c r="P32" s="338">
        <f t="shared" si="7"/>
        <v>0</v>
      </c>
    </row>
    <row r="33" spans="1:16" ht="12.75">
      <c r="A33" s="260">
        <v>23</v>
      </c>
      <c r="B33" s="195" t="s">
        <v>738</v>
      </c>
      <c r="C33" s="531">
        <v>0</v>
      </c>
      <c r="D33" s="701">
        <v>0</v>
      </c>
      <c r="E33" s="337">
        <f t="shared" si="1"/>
        <v>0</v>
      </c>
      <c r="F33" s="337">
        <f t="shared" si="0"/>
        <v>0</v>
      </c>
      <c r="G33" s="334">
        <v>0</v>
      </c>
      <c r="H33" s="334">
        <v>0</v>
      </c>
      <c r="I33" s="338">
        <f t="shared" si="2"/>
        <v>0</v>
      </c>
      <c r="J33" s="338">
        <f t="shared" si="3"/>
        <v>0</v>
      </c>
      <c r="K33" s="335">
        <v>0</v>
      </c>
      <c r="L33" s="335">
        <v>0</v>
      </c>
      <c r="M33" s="338">
        <f t="shared" si="4"/>
        <v>0</v>
      </c>
      <c r="N33" s="338">
        <f t="shared" si="5"/>
        <v>0</v>
      </c>
      <c r="O33" s="338">
        <f t="shared" si="6"/>
        <v>0</v>
      </c>
      <c r="P33" s="338">
        <f t="shared" si="7"/>
        <v>0</v>
      </c>
    </row>
    <row r="34" spans="1:16" ht="12.75">
      <c r="A34" s="260">
        <v>24</v>
      </c>
      <c r="B34" s="195" t="s">
        <v>730</v>
      </c>
      <c r="C34" s="531">
        <v>0</v>
      </c>
      <c r="D34" s="701">
        <v>0</v>
      </c>
      <c r="E34" s="337">
        <f t="shared" si="1"/>
        <v>0</v>
      </c>
      <c r="F34" s="337">
        <f t="shared" si="0"/>
        <v>0</v>
      </c>
      <c r="G34" s="334">
        <v>0</v>
      </c>
      <c r="H34" s="334">
        <v>0</v>
      </c>
      <c r="I34" s="338">
        <f t="shared" si="2"/>
        <v>0</v>
      </c>
      <c r="J34" s="338">
        <f t="shared" si="3"/>
        <v>0</v>
      </c>
      <c r="K34" s="335">
        <v>0</v>
      </c>
      <c r="L34" s="335">
        <v>0</v>
      </c>
      <c r="M34" s="338">
        <f t="shared" si="4"/>
        <v>0</v>
      </c>
      <c r="N34" s="338">
        <f t="shared" si="5"/>
        <v>0</v>
      </c>
      <c r="O34" s="338">
        <f>SUM(M34:N34)</f>
        <v>0</v>
      </c>
      <c r="P34" s="338">
        <f t="shared" si="7"/>
        <v>0</v>
      </c>
    </row>
    <row r="35" spans="1:16" ht="12.75">
      <c r="A35" s="260">
        <v>25</v>
      </c>
      <c r="B35" s="195" t="s">
        <v>736</v>
      </c>
      <c r="C35" s="530">
        <v>0</v>
      </c>
      <c r="D35" s="701">
        <v>0</v>
      </c>
      <c r="E35" s="337">
        <f t="shared" si="1"/>
        <v>0</v>
      </c>
      <c r="F35" s="337">
        <f t="shared" si="0"/>
        <v>0</v>
      </c>
      <c r="G35" s="334">
        <v>0</v>
      </c>
      <c r="H35" s="334">
        <v>0</v>
      </c>
      <c r="I35" s="338">
        <f t="shared" si="2"/>
        <v>0</v>
      </c>
      <c r="J35" s="338">
        <f t="shared" si="3"/>
        <v>0</v>
      </c>
      <c r="K35" s="335">
        <v>0</v>
      </c>
      <c r="L35" s="335">
        <v>0</v>
      </c>
      <c r="M35" s="338">
        <f t="shared" si="4"/>
        <v>0</v>
      </c>
      <c r="N35" s="338">
        <f t="shared" si="5"/>
        <v>0</v>
      </c>
      <c r="O35" s="338">
        <f t="shared" si="6"/>
        <v>0</v>
      </c>
      <c r="P35" s="338">
        <f t="shared" si="7"/>
        <v>0</v>
      </c>
    </row>
    <row r="36" spans="1:16" ht="12.75">
      <c r="A36" s="260">
        <v>26</v>
      </c>
      <c r="B36" s="195" t="s">
        <v>744</v>
      </c>
      <c r="C36" s="530">
        <v>0</v>
      </c>
      <c r="D36" s="701">
        <v>0</v>
      </c>
      <c r="E36" s="337">
        <f t="shared" si="1"/>
        <v>0</v>
      </c>
      <c r="F36" s="337">
        <f t="shared" si="0"/>
        <v>0</v>
      </c>
      <c r="G36" s="334">
        <v>0</v>
      </c>
      <c r="H36" s="334">
        <v>0</v>
      </c>
      <c r="I36" s="338">
        <f t="shared" si="2"/>
        <v>0</v>
      </c>
      <c r="J36" s="338">
        <f t="shared" si="3"/>
        <v>0</v>
      </c>
      <c r="K36" s="335">
        <v>0</v>
      </c>
      <c r="L36" s="335">
        <v>0</v>
      </c>
      <c r="M36" s="338">
        <f t="shared" si="4"/>
        <v>0</v>
      </c>
      <c r="N36" s="338">
        <f t="shared" si="5"/>
        <v>0</v>
      </c>
      <c r="O36" s="338">
        <f t="shared" si="6"/>
        <v>0</v>
      </c>
      <c r="P36" s="338">
        <f t="shared" si="7"/>
        <v>0</v>
      </c>
    </row>
    <row r="37" spans="1:16" ht="12.75">
      <c r="A37" s="262">
        <v>27</v>
      </c>
      <c r="B37" s="195" t="s">
        <v>838</v>
      </c>
      <c r="C37" s="531">
        <v>0</v>
      </c>
      <c r="D37" s="701">
        <v>0</v>
      </c>
      <c r="E37" s="337">
        <f t="shared" si="1"/>
        <v>0</v>
      </c>
      <c r="F37" s="337">
        <f t="shared" si="0"/>
        <v>0</v>
      </c>
      <c r="G37" s="334">
        <v>0</v>
      </c>
      <c r="H37" s="334">
        <v>0</v>
      </c>
      <c r="I37" s="338">
        <f t="shared" si="2"/>
        <v>0</v>
      </c>
      <c r="J37" s="338">
        <f t="shared" si="3"/>
        <v>0</v>
      </c>
      <c r="K37" s="335">
        <v>0</v>
      </c>
      <c r="L37" s="335">
        <v>0</v>
      </c>
      <c r="M37" s="338">
        <f t="shared" si="4"/>
        <v>0</v>
      </c>
      <c r="N37" s="338">
        <f t="shared" si="5"/>
        <v>0</v>
      </c>
      <c r="O37" s="338">
        <f t="shared" si="6"/>
        <v>0</v>
      </c>
      <c r="P37" s="338">
        <f t="shared" si="7"/>
        <v>0</v>
      </c>
    </row>
    <row r="38" spans="1:16" ht="12.75">
      <c r="A38" s="1174" t="s">
        <v>19</v>
      </c>
      <c r="B38" s="1181"/>
      <c r="C38" s="341">
        <f>SUM(C11:C37)</f>
        <v>0</v>
      </c>
      <c r="D38" s="701">
        <v>0</v>
      </c>
      <c r="E38" s="342">
        <f aca="true" t="shared" si="8" ref="E38:P38">SUM(E11:E37)</f>
        <v>0</v>
      </c>
      <c r="F38" s="342">
        <f t="shared" si="8"/>
        <v>0</v>
      </c>
      <c r="G38" s="342">
        <f t="shared" si="8"/>
        <v>0</v>
      </c>
      <c r="H38" s="342">
        <f t="shared" si="8"/>
        <v>0</v>
      </c>
      <c r="I38" s="342">
        <f t="shared" si="8"/>
        <v>0</v>
      </c>
      <c r="J38" s="342">
        <f t="shared" si="8"/>
        <v>0</v>
      </c>
      <c r="K38" s="342">
        <f t="shared" si="8"/>
        <v>0</v>
      </c>
      <c r="L38" s="342">
        <f t="shared" si="8"/>
        <v>0</v>
      </c>
      <c r="M38" s="342">
        <f t="shared" si="8"/>
        <v>0</v>
      </c>
      <c r="N38" s="342">
        <f t="shared" si="8"/>
        <v>0</v>
      </c>
      <c r="O38" s="342">
        <f t="shared" si="8"/>
        <v>0</v>
      </c>
      <c r="P38" s="342">
        <f t="shared" si="8"/>
        <v>0</v>
      </c>
    </row>
    <row r="39" spans="1:4" ht="18" customHeight="1">
      <c r="A39" s="237"/>
      <c r="B39" s="237"/>
      <c r="C39" s="237" t="s">
        <v>791</v>
      </c>
      <c r="D39" s="237"/>
    </row>
    <row r="40" spans="1:8" ht="12.75">
      <c r="A40" s="238" t="s">
        <v>8</v>
      </c>
      <c r="B40" s="239"/>
      <c r="C40" s="239"/>
      <c r="D40" s="237"/>
      <c r="E40" s="237"/>
      <c r="F40" s="237"/>
      <c r="G40" s="237"/>
      <c r="H40" s="237"/>
    </row>
    <row r="41" spans="1:3" ht="12.75">
      <c r="A41" s="240" t="s">
        <v>9</v>
      </c>
      <c r="B41" s="240"/>
      <c r="C41" s="240"/>
    </row>
    <row r="42" spans="1:3" ht="12.75">
      <c r="A42" s="240" t="s">
        <v>10</v>
      </c>
      <c r="B42" s="240"/>
      <c r="C42" s="240"/>
    </row>
    <row r="43" spans="1:16" ht="12.75">
      <c r="A43" s="1163" t="s">
        <v>230</v>
      </c>
      <c r="B43" s="1163"/>
      <c r="C43" s="1163"/>
      <c r="D43" s="1163"/>
      <c r="L43" s="237"/>
      <c r="M43" s="244"/>
      <c r="N43" s="244"/>
      <c r="O43" s="244"/>
      <c r="P43" s="244"/>
    </row>
    <row r="44" spans="1:3" ht="12.75">
      <c r="A44" s="238" t="s">
        <v>115</v>
      </c>
      <c r="B44" s="240" t="s">
        <v>197</v>
      </c>
      <c r="C44" s="240"/>
    </row>
    <row r="45" spans="1:6" ht="12.75">
      <c r="A45" s="238" t="s">
        <v>145</v>
      </c>
      <c r="B45" s="1163" t="s">
        <v>657</v>
      </c>
      <c r="C45" s="1163"/>
      <c r="D45" s="1163"/>
      <c r="E45" s="1163"/>
      <c r="F45" s="371"/>
    </row>
    <row r="46" spans="1:6" ht="12.75">
      <c r="A46" s="240" t="s">
        <v>147</v>
      </c>
      <c r="B46" s="1163" t="s">
        <v>658</v>
      </c>
      <c r="C46" s="1163"/>
      <c r="D46" s="1163"/>
      <c r="E46" s="1163"/>
      <c r="F46" s="371"/>
    </row>
    <row r="47" spans="1:16" ht="12.75">
      <c r="A47" s="240" t="s">
        <v>167</v>
      </c>
      <c r="B47" s="1163" t="s">
        <v>659</v>
      </c>
      <c r="C47" s="1163"/>
      <c r="D47" s="1163"/>
      <c r="E47" s="1163"/>
      <c r="F47" s="1163"/>
      <c r="G47" s="1163"/>
      <c r="H47" s="1163"/>
      <c r="I47" s="1163"/>
      <c r="J47" s="1163"/>
      <c r="K47" s="1163"/>
      <c r="L47" s="1163"/>
      <c r="M47" s="1163"/>
      <c r="N47" s="1163"/>
      <c r="O47" s="1163"/>
      <c r="P47" s="1163"/>
    </row>
    <row r="48" spans="1:3" ht="12.75">
      <c r="A48" s="240" t="s">
        <v>119</v>
      </c>
      <c r="B48" s="240" t="s">
        <v>247</v>
      </c>
      <c r="C48" s="240"/>
    </row>
    <row r="49" spans="1:3" ht="12.75">
      <c r="A49" s="240" t="s">
        <v>120</v>
      </c>
      <c r="B49" s="240" t="s">
        <v>249</v>
      </c>
      <c r="C49" s="240"/>
    </row>
    <row r="50" spans="1:3" ht="12.75" customHeight="1">
      <c r="A50" s="240"/>
      <c r="B50" s="240" t="s">
        <v>250</v>
      </c>
      <c r="C50" s="240"/>
    </row>
    <row r="51" spans="1:14" ht="12.75" customHeight="1">
      <c r="A51" s="240"/>
      <c r="B51" s="240"/>
      <c r="C51" s="240"/>
      <c r="M51" s="881" t="s">
        <v>13</v>
      </c>
      <c r="N51" s="881"/>
    </row>
    <row r="52" spans="5:16" ht="12.75" customHeight="1">
      <c r="E52" s="240"/>
      <c r="F52" s="366"/>
      <c r="G52" s="366"/>
      <c r="H52" s="366"/>
      <c r="I52" s="366"/>
      <c r="J52" s="366"/>
      <c r="K52" s="83"/>
      <c r="L52" s="881" t="s">
        <v>14</v>
      </c>
      <c r="M52" s="881"/>
      <c r="N52" s="881"/>
      <c r="O52" s="881"/>
      <c r="P52" s="83"/>
    </row>
    <row r="53" spans="5:16" ht="12.75" customHeight="1">
      <c r="E53" s="366"/>
      <c r="F53" s="366"/>
      <c r="G53" s="366"/>
      <c r="H53" s="366"/>
      <c r="I53" s="366"/>
      <c r="J53" s="366"/>
      <c r="K53" s="881" t="s">
        <v>637</v>
      </c>
      <c r="L53" s="881"/>
      <c r="M53" s="881"/>
      <c r="N53" s="881"/>
      <c r="O53" s="881"/>
      <c r="P53" s="881"/>
    </row>
    <row r="54" spans="1:16" ht="12.75">
      <c r="A54" s="240"/>
      <c r="B54" s="240"/>
      <c r="F54" s="240"/>
      <c r="G54" s="240"/>
      <c r="H54" s="240"/>
      <c r="I54" s="240"/>
      <c r="J54" s="240"/>
      <c r="K54" s="14"/>
      <c r="L54" s="14"/>
      <c r="M54" s="1" t="s">
        <v>84</v>
      </c>
      <c r="N54" s="1"/>
      <c r="O54" s="1"/>
      <c r="P54" s="1"/>
    </row>
    <row r="56" spans="1:16" ht="12.75">
      <c r="A56" s="1158"/>
      <c r="B56" s="1158"/>
      <c r="C56" s="1158"/>
      <c r="D56" s="1158"/>
      <c r="E56" s="1158"/>
      <c r="F56" s="1158"/>
      <c r="G56" s="1158"/>
      <c r="H56" s="1158"/>
      <c r="I56" s="1158"/>
      <c r="J56" s="1158"/>
      <c r="K56" s="1158"/>
      <c r="L56" s="1158"/>
      <c r="M56" s="1158"/>
      <c r="N56" s="1158"/>
      <c r="O56" s="1158"/>
      <c r="P56" s="1158"/>
    </row>
  </sheetData>
  <sheetProtection/>
  <mergeCells count="24">
    <mergeCell ref="B8:B9"/>
    <mergeCell ref="C8:C9"/>
    <mergeCell ref="D8:D9"/>
    <mergeCell ref="E8:H8"/>
    <mergeCell ref="I8:L8"/>
    <mergeCell ref="M8:O8"/>
    <mergeCell ref="A38:B38"/>
    <mergeCell ref="P8:P9"/>
    <mergeCell ref="H7:P7"/>
    <mergeCell ref="A8:A9"/>
    <mergeCell ref="D1:E1"/>
    <mergeCell ref="O1:P1"/>
    <mergeCell ref="A2:P2"/>
    <mergeCell ref="A3:P3"/>
    <mergeCell ref="A5:P5"/>
    <mergeCell ref="A6:P6"/>
    <mergeCell ref="A56:P56"/>
    <mergeCell ref="L52:O52"/>
    <mergeCell ref="K53:P53"/>
    <mergeCell ref="A43:D43"/>
    <mergeCell ref="B45:E45"/>
    <mergeCell ref="B46:E46"/>
    <mergeCell ref="B47:P47"/>
    <mergeCell ref="M51:N51"/>
  </mergeCells>
  <printOptions horizontalCentered="1"/>
  <pageMargins left="0.7086614173228347" right="0.7086614173228347" top="0.52" bottom="0" header="0.7" footer="0.31496062992125984"/>
  <pageSetup fitToHeight="1" fitToWidth="1" horizontalDpi="600" verticalDpi="600" orientation="landscape" paperSize="9" scale="72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P57"/>
  <sheetViews>
    <sheetView view="pageBreakPreview" zoomScale="90" zoomScaleSheetLayoutView="90" zoomScalePageLayoutView="0" workbookViewId="0" topLeftCell="A1">
      <selection activeCell="Q1" sqref="Q1:W16384"/>
    </sheetView>
  </sheetViews>
  <sheetFormatPr defaultColWidth="9.140625" defaultRowHeight="12.75"/>
  <cols>
    <col min="1" max="1" width="6.57421875" style="233" customWidth="1"/>
    <col min="2" max="2" width="14.8515625" style="233" customWidth="1"/>
    <col min="3" max="3" width="17.8515625" style="233" customWidth="1"/>
    <col min="4" max="4" width="11.28125" style="233" customWidth="1"/>
    <col min="5" max="5" width="10.7109375" style="233" customWidth="1"/>
    <col min="6" max="7" width="8.00390625" style="233" customWidth="1"/>
    <col min="8" max="12" width="8.140625" style="233" customWidth="1"/>
    <col min="13" max="13" width="10.140625" style="233" customWidth="1"/>
    <col min="14" max="14" width="11.421875" style="233" customWidth="1"/>
    <col min="15" max="15" width="10.8515625" style="233" customWidth="1"/>
    <col min="16" max="16" width="20.28125" style="233" customWidth="1"/>
    <col min="17" max="16384" width="9.140625" style="233" customWidth="1"/>
  </cols>
  <sheetData>
    <row r="1" spans="4:16" ht="15">
      <c r="D1" s="854"/>
      <c r="E1" s="854"/>
      <c r="O1" s="1159" t="s">
        <v>770</v>
      </c>
      <c r="P1" s="1159"/>
    </row>
    <row r="2" spans="1:16" ht="15.75">
      <c r="A2" s="1160" t="s">
        <v>0</v>
      </c>
      <c r="B2" s="1160"/>
      <c r="C2" s="1160"/>
      <c r="D2" s="1160"/>
      <c r="E2" s="1160"/>
      <c r="F2" s="1160"/>
      <c r="G2" s="1160"/>
      <c r="H2" s="1160"/>
      <c r="I2" s="1160"/>
      <c r="J2" s="1160"/>
      <c r="K2" s="1160"/>
      <c r="L2" s="1160"/>
      <c r="M2" s="1160"/>
      <c r="N2" s="1160"/>
      <c r="O2" s="1160"/>
      <c r="P2" s="1160"/>
    </row>
    <row r="3" spans="1:16" ht="20.25">
      <c r="A3" s="1182" t="s">
        <v>859</v>
      </c>
      <c r="B3" s="1182"/>
      <c r="C3" s="1182"/>
      <c r="D3" s="1182"/>
      <c r="E3" s="1182"/>
      <c r="F3" s="1182"/>
      <c r="G3" s="1182"/>
      <c r="H3" s="1182"/>
      <c r="I3" s="1182"/>
      <c r="J3" s="1182"/>
      <c r="K3" s="1182"/>
      <c r="L3" s="1182"/>
      <c r="M3" s="1182"/>
      <c r="N3" s="1182"/>
      <c r="O3" s="1182"/>
      <c r="P3" s="1182"/>
    </row>
    <row r="5" spans="1:16" s="245" customFormat="1" ht="15">
      <c r="A5" s="1187" t="s">
        <v>856</v>
      </c>
      <c r="B5" s="1187"/>
      <c r="C5" s="1187"/>
      <c r="D5" s="1187"/>
      <c r="E5" s="1187"/>
      <c r="F5" s="1187"/>
      <c r="G5" s="1187"/>
      <c r="H5" s="1187"/>
      <c r="I5" s="1187"/>
      <c r="J5" s="1187"/>
      <c r="K5" s="1187"/>
      <c r="L5" s="1187"/>
      <c r="M5" s="1187"/>
      <c r="N5" s="1187"/>
      <c r="O5" s="1187"/>
      <c r="P5" s="1187"/>
    </row>
    <row r="6" spans="1:16" ht="12.75">
      <c r="A6" s="1158"/>
      <c r="B6" s="1158"/>
      <c r="C6" s="1158"/>
      <c r="D6" s="1158"/>
      <c r="E6" s="1158"/>
      <c r="F6" s="1158"/>
      <c r="G6" s="1158"/>
      <c r="H6" s="1158"/>
      <c r="I6" s="1158"/>
      <c r="J6" s="1158"/>
      <c r="K6" s="1158"/>
      <c r="L6" s="1158"/>
      <c r="M6" s="1158"/>
      <c r="N6" s="1158"/>
      <c r="O6" s="1158"/>
      <c r="P6" s="1158"/>
    </row>
    <row r="7" spans="1:16" ht="12.75">
      <c r="A7" s="35" t="s">
        <v>634</v>
      </c>
      <c r="B7" s="35"/>
      <c r="D7" s="241"/>
      <c r="H7" s="1164"/>
      <c r="I7" s="1164"/>
      <c r="J7" s="1164"/>
      <c r="K7" s="1164"/>
      <c r="L7" s="1164"/>
      <c r="M7" s="1164"/>
      <c r="N7" s="1164"/>
      <c r="O7" s="1164"/>
      <c r="P7" s="1164"/>
    </row>
    <row r="8" spans="1:16" ht="30.75" customHeight="1">
      <c r="A8" s="1165" t="s">
        <v>2</v>
      </c>
      <c r="B8" s="1165" t="s">
        <v>3</v>
      </c>
      <c r="C8" s="963" t="s">
        <v>491</v>
      </c>
      <c r="D8" s="1169" t="s">
        <v>85</v>
      </c>
      <c r="E8" s="1166" t="s">
        <v>86</v>
      </c>
      <c r="F8" s="1167"/>
      <c r="G8" s="1167"/>
      <c r="H8" s="1168"/>
      <c r="I8" s="1166" t="s">
        <v>92</v>
      </c>
      <c r="J8" s="1167"/>
      <c r="K8" s="1167"/>
      <c r="L8" s="1168"/>
      <c r="M8" s="1169" t="s">
        <v>195</v>
      </c>
      <c r="N8" s="1183"/>
      <c r="O8" s="1184"/>
      <c r="P8" s="1165" t="s">
        <v>154</v>
      </c>
    </row>
    <row r="9" spans="1:16" ht="30" customHeight="1">
      <c r="A9" s="1165"/>
      <c r="B9" s="1165"/>
      <c r="C9" s="964"/>
      <c r="D9" s="1170"/>
      <c r="E9" s="234" t="s">
        <v>196</v>
      </c>
      <c r="F9" s="234" t="s">
        <v>117</v>
      </c>
      <c r="G9" s="234" t="s">
        <v>118</v>
      </c>
      <c r="H9" s="234" t="s">
        <v>442</v>
      </c>
      <c r="I9" s="234" t="s">
        <v>144</v>
      </c>
      <c r="J9" s="234" t="s">
        <v>146</v>
      </c>
      <c r="K9" s="234" t="s">
        <v>148</v>
      </c>
      <c r="L9" s="234" t="s">
        <v>441</v>
      </c>
      <c r="M9" s="234" t="s">
        <v>166</v>
      </c>
      <c r="N9" s="235" t="s">
        <v>153</v>
      </c>
      <c r="O9" s="242" t="s">
        <v>19</v>
      </c>
      <c r="P9" s="1165"/>
    </row>
    <row r="10" spans="1:16" s="240" customFormat="1" ht="12.75">
      <c r="A10" s="234">
        <v>1</v>
      </c>
      <c r="B10" s="234">
        <v>2</v>
      </c>
      <c r="C10" s="234">
        <v>3</v>
      </c>
      <c r="D10" s="283">
        <v>4</v>
      </c>
      <c r="E10" s="234">
        <v>5</v>
      </c>
      <c r="F10" s="234">
        <v>6</v>
      </c>
      <c r="G10" s="234">
        <v>7</v>
      </c>
      <c r="H10" s="234">
        <v>8</v>
      </c>
      <c r="I10" s="234">
        <v>9</v>
      </c>
      <c r="J10" s="234">
        <v>10</v>
      </c>
      <c r="K10" s="234">
        <v>11</v>
      </c>
      <c r="L10" s="234">
        <v>12</v>
      </c>
      <c r="M10" s="234">
        <v>13</v>
      </c>
      <c r="N10" s="234">
        <v>14</v>
      </c>
      <c r="O10" s="234">
        <v>15</v>
      </c>
      <c r="P10" s="234">
        <v>16</v>
      </c>
    </row>
    <row r="11" spans="1:16" s="240" customFormat="1" ht="12.75">
      <c r="A11" s="262">
        <v>1</v>
      </c>
      <c r="B11" s="195" t="s">
        <v>841</v>
      </c>
      <c r="C11" s="530">
        <v>0</v>
      </c>
      <c r="D11" s="528">
        <v>0</v>
      </c>
      <c r="E11" s="338">
        <f>C11*D11*150/1000000</f>
        <v>0</v>
      </c>
      <c r="F11" s="338">
        <f>E11</f>
        <v>0</v>
      </c>
      <c r="G11" s="338"/>
      <c r="H11" s="338"/>
      <c r="I11" s="338">
        <f>E11*3000/100000</f>
        <v>0</v>
      </c>
      <c r="J11" s="338">
        <f>I11</f>
        <v>0</v>
      </c>
      <c r="K11" s="338"/>
      <c r="L11" s="338"/>
      <c r="M11" s="338">
        <f>C11*D11*3.99/100000</f>
        <v>0</v>
      </c>
      <c r="N11" s="338">
        <f>C11*D11*2.96/100000</f>
        <v>0</v>
      </c>
      <c r="O11" s="338">
        <f>SUM(M11:N11)</f>
        <v>0</v>
      </c>
      <c r="P11" s="338">
        <f>E11*750/100000</f>
        <v>0</v>
      </c>
    </row>
    <row r="12" spans="1:16" s="240" customFormat="1" ht="12.75">
      <c r="A12" s="260">
        <v>2</v>
      </c>
      <c r="B12" s="195" t="s">
        <v>833</v>
      </c>
      <c r="C12" s="530">
        <v>0</v>
      </c>
      <c r="D12" s="528">
        <v>0</v>
      </c>
      <c r="E12" s="338">
        <f aca="true" t="shared" si="0" ref="E12:E37">C12*D12*150/1000000</f>
        <v>0</v>
      </c>
      <c r="F12" s="338">
        <f aca="true" t="shared" si="1" ref="F12:F37">E12</f>
        <v>0</v>
      </c>
      <c r="G12" s="338"/>
      <c r="H12" s="338"/>
      <c r="I12" s="338">
        <f aca="true" t="shared" si="2" ref="I12:I37">E12*3000/100000</f>
        <v>0</v>
      </c>
      <c r="J12" s="338">
        <f aca="true" t="shared" si="3" ref="J12:J37">I12</f>
        <v>0</v>
      </c>
      <c r="K12" s="338"/>
      <c r="L12" s="338"/>
      <c r="M12" s="338">
        <f aca="true" t="shared" si="4" ref="M12:M37">C12*D12*3.99/100000</f>
        <v>0</v>
      </c>
      <c r="N12" s="338">
        <f aca="true" t="shared" si="5" ref="N12:N37">C12*D12*2.96/100000</f>
        <v>0</v>
      </c>
      <c r="O12" s="338">
        <f aca="true" t="shared" si="6" ref="O12:O37">SUM(M12:N12)</f>
        <v>0</v>
      </c>
      <c r="P12" s="338">
        <f aca="true" t="shared" si="7" ref="P12:P37">E12*750/100000</f>
        <v>0</v>
      </c>
    </row>
    <row r="13" spans="1:16" s="240" customFormat="1" ht="12.75">
      <c r="A13" s="260">
        <v>3</v>
      </c>
      <c r="B13" s="195" t="s">
        <v>839</v>
      </c>
      <c r="C13" s="531">
        <v>0</v>
      </c>
      <c r="D13" s="701">
        <v>0</v>
      </c>
      <c r="E13" s="338">
        <f t="shared" si="0"/>
        <v>0</v>
      </c>
      <c r="F13" s="338">
        <f t="shared" si="1"/>
        <v>0</v>
      </c>
      <c r="G13" s="338"/>
      <c r="H13" s="338"/>
      <c r="I13" s="338">
        <f t="shared" si="2"/>
        <v>0</v>
      </c>
      <c r="J13" s="338">
        <f t="shared" si="3"/>
        <v>0</v>
      </c>
      <c r="K13" s="338"/>
      <c r="L13" s="338"/>
      <c r="M13" s="338">
        <f t="shared" si="4"/>
        <v>0</v>
      </c>
      <c r="N13" s="338">
        <f t="shared" si="5"/>
        <v>0</v>
      </c>
      <c r="O13" s="338">
        <f t="shared" si="6"/>
        <v>0</v>
      </c>
      <c r="P13" s="338">
        <f t="shared" si="7"/>
        <v>0</v>
      </c>
    </row>
    <row r="14" spans="1:16" s="240" customFormat="1" ht="12.75">
      <c r="A14" s="260">
        <v>4</v>
      </c>
      <c r="B14" s="195" t="s">
        <v>743</v>
      </c>
      <c r="C14" s="531">
        <v>0</v>
      </c>
      <c r="D14" s="701">
        <v>0</v>
      </c>
      <c r="E14" s="338">
        <f t="shared" si="0"/>
        <v>0</v>
      </c>
      <c r="F14" s="338">
        <f t="shared" si="1"/>
        <v>0</v>
      </c>
      <c r="G14" s="338"/>
      <c r="H14" s="338"/>
      <c r="I14" s="338">
        <f t="shared" si="2"/>
        <v>0</v>
      </c>
      <c r="J14" s="338">
        <f t="shared" si="3"/>
        <v>0</v>
      </c>
      <c r="K14" s="338"/>
      <c r="L14" s="338"/>
      <c r="M14" s="338">
        <f t="shared" si="4"/>
        <v>0</v>
      </c>
      <c r="N14" s="338">
        <f t="shared" si="5"/>
        <v>0</v>
      </c>
      <c r="O14" s="338">
        <f t="shared" si="6"/>
        <v>0</v>
      </c>
      <c r="P14" s="338">
        <f t="shared" si="7"/>
        <v>0</v>
      </c>
    </row>
    <row r="15" spans="1:16" s="240" customFormat="1" ht="12.75">
      <c r="A15" s="260">
        <v>5</v>
      </c>
      <c r="B15" s="195" t="s">
        <v>748</v>
      </c>
      <c r="C15" s="530">
        <v>0</v>
      </c>
      <c r="D15" s="701">
        <v>0</v>
      </c>
      <c r="E15" s="338">
        <f t="shared" si="0"/>
        <v>0</v>
      </c>
      <c r="F15" s="338">
        <f t="shared" si="1"/>
        <v>0</v>
      </c>
      <c r="G15" s="338"/>
      <c r="H15" s="338"/>
      <c r="I15" s="338">
        <f t="shared" si="2"/>
        <v>0</v>
      </c>
      <c r="J15" s="338">
        <f t="shared" si="3"/>
        <v>0</v>
      </c>
      <c r="K15" s="338"/>
      <c r="L15" s="338"/>
      <c r="M15" s="338">
        <f t="shared" si="4"/>
        <v>0</v>
      </c>
      <c r="N15" s="338">
        <f t="shared" si="5"/>
        <v>0</v>
      </c>
      <c r="O15" s="338">
        <f t="shared" si="6"/>
        <v>0</v>
      </c>
      <c r="P15" s="338">
        <f t="shared" si="7"/>
        <v>0</v>
      </c>
    </row>
    <row r="16" spans="1:16" s="240" customFormat="1" ht="12.75">
      <c r="A16" s="260">
        <v>6</v>
      </c>
      <c r="B16" s="195" t="s">
        <v>747</v>
      </c>
      <c r="C16" s="530">
        <v>0</v>
      </c>
      <c r="D16" s="701">
        <v>0</v>
      </c>
      <c r="E16" s="338">
        <f t="shared" si="0"/>
        <v>0</v>
      </c>
      <c r="F16" s="338">
        <f t="shared" si="1"/>
        <v>0</v>
      </c>
      <c r="G16" s="338"/>
      <c r="H16" s="338"/>
      <c r="I16" s="338">
        <f t="shared" si="2"/>
        <v>0</v>
      </c>
      <c r="J16" s="338">
        <f t="shared" si="3"/>
        <v>0</v>
      </c>
      <c r="K16" s="338"/>
      <c r="L16" s="338"/>
      <c r="M16" s="338">
        <f t="shared" si="4"/>
        <v>0</v>
      </c>
      <c r="N16" s="338">
        <f t="shared" si="5"/>
        <v>0</v>
      </c>
      <c r="O16" s="338">
        <f t="shared" si="6"/>
        <v>0</v>
      </c>
      <c r="P16" s="338">
        <f t="shared" si="7"/>
        <v>0</v>
      </c>
    </row>
    <row r="17" spans="1:16" s="240" customFormat="1" ht="12.75">
      <c r="A17" s="260">
        <v>7</v>
      </c>
      <c r="B17" s="195" t="s">
        <v>737</v>
      </c>
      <c r="C17" s="531">
        <v>0</v>
      </c>
      <c r="D17" s="701">
        <v>0</v>
      </c>
      <c r="E17" s="338">
        <f t="shared" si="0"/>
        <v>0</v>
      </c>
      <c r="F17" s="338">
        <f t="shared" si="1"/>
        <v>0</v>
      </c>
      <c r="G17" s="338"/>
      <c r="H17" s="338"/>
      <c r="I17" s="338">
        <f t="shared" si="2"/>
        <v>0</v>
      </c>
      <c r="J17" s="338">
        <f t="shared" si="3"/>
        <v>0</v>
      </c>
      <c r="K17" s="338"/>
      <c r="L17" s="338"/>
      <c r="M17" s="338">
        <f t="shared" si="4"/>
        <v>0</v>
      </c>
      <c r="N17" s="338">
        <f t="shared" si="5"/>
        <v>0</v>
      </c>
      <c r="O17" s="338">
        <f t="shared" si="6"/>
        <v>0</v>
      </c>
      <c r="P17" s="338">
        <f t="shared" si="7"/>
        <v>0</v>
      </c>
    </row>
    <row r="18" spans="1:16" s="240" customFormat="1" ht="12.75">
      <c r="A18" s="260">
        <v>8</v>
      </c>
      <c r="B18" s="195" t="s">
        <v>749</v>
      </c>
      <c r="C18" s="531">
        <v>0</v>
      </c>
      <c r="D18" s="701">
        <v>0</v>
      </c>
      <c r="E18" s="338">
        <f t="shared" si="0"/>
        <v>0</v>
      </c>
      <c r="F18" s="338">
        <f t="shared" si="1"/>
        <v>0</v>
      </c>
      <c r="G18" s="338"/>
      <c r="H18" s="338"/>
      <c r="I18" s="338">
        <f t="shared" si="2"/>
        <v>0</v>
      </c>
      <c r="J18" s="338">
        <f t="shared" si="3"/>
        <v>0</v>
      </c>
      <c r="K18" s="338"/>
      <c r="L18" s="338"/>
      <c r="M18" s="338">
        <f t="shared" si="4"/>
        <v>0</v>
      </c>
      <c r="N18" s="338">
        <f t="shared" si="5"/>
        <v>0</v>
      </c>
      <c r="O18" s="338">
        <f t="shared" si="6"/>
        <v>0</v>
      </c>
      <c r="P18" s="338">
        <f t="shared" si="7"/>
        <v>0</v>
      </c>
    </row>
    <row r="19" spans="1:16" s="240" customFormat="1" ht="12.75">
      <c r="A19" s="260">
        <v>9</v>
      </c>
      <c r="B19" s="195" t="s">
        <v>834</v>
      </c>
      <c r="C19" s="530">
        <v>0</v>
      </c>
      <c r="D19" s="701">
        <v>0</v>
      </c>
      <c r="E19" s="338">
        <f t="shared" si="0"/>
        <v>0</v>
      </c>
      <c r="F19" s="338">
        <f t="shared" si="1"/>
        <v>0</v>
      </c>
      <c r="G19" s="338"/>
      <c r="H19" s="338"/>
      <c r="I19" s="338">
        <f t="shared" si="2"/>
        <v>0</v>
      </c>
      <c r="J19" s="338">
        <f t="shared" si="3"/>
        <v>0</v>
      </c>
      <c r="K19" s="338"/>
      <c r="L19" s="338"/>
      <c r="M19" s="338">
        <f t="shared" si="4"/>
        <v>0</v>
      </c>
      <c r="N19" s="338">
        <f t="shared" si="5"/>
        <v>0</v>
      </c>
      <c r="O19" s="338">
        <f t="shared" si="6"/>
        <v>0</v>
      </c>
      <c r="P19" s="338">
        <f t="shared" si="7"/>
        <v>0</v>
      </c>
    </row>
    <row r="20" spans="1:16" s="240" customFormat="1" ht="12.75">
      <c r="A20" s="260">
        <v>10</v>
      </c>
      <c r="B20" s="195" t="s">
        <v>739</v>
      </c>
      <c r="C20" s="530">
        <v>0</v>
      </c>
      <c r="D20" s="701">
        <v>0</v>
      </c>
      <c r="E20" s="338">
        <f t="shared" si="0"/>
        <v>0</v>
      </c>
      <c r="F20" s="338">
        <f t="shared" si="1"/>
        <v>0</v>
      </c>
      <c r="G20" s="338"/>
      <c r="H20" s="338"/>
      <c r="I20" s="338">
        <f t="shared" si="2"/>
        <v>0</v>
      </c>
      <c r="J20" s="338">
        <f t="shared" si="3"/>
        <v>0</v>
      </c>
      <c r="K20" s="338"/>
      <c r="L20" s="338"/>
      <c r="M20" s="338">
        <f t="shared" si="4"/>
        <v>0</v>
      </c>
      <c r="N20" s="338">
        <f t="shared" si="5"/>
        <v>0</v>
      </c>
      <c r="O20" s="338">
        <f t="shared" si="6"/>
        <v>0</v>
      </c>
      <c r="P20" s="338">
        <f t="shared" si="7"/>
        <v>0</v>
      </c>
    </row>
    <row r="21" spans="1:16" s="240" customFormat="1" ht="12.75">
      <c r="A21" s="260">
        <v>11</v>
      </c>
      <c r="B21" s="195" t="s">
        <v>840</v>
      </c>
      <c r="C21" s="531">
        <v>0</v>
      </c>
      <c r="D21" s="701">
        <v>0</v>
      </c>
      <c r="E21" s="338">
        <f t="shared" si="0"/>
        <v>0</v>
      </c>
      <c r="F21" s="338">
        <f t="shared" si="1"/>
        <v>0</v>
      </c>
      <c r="G21" s="338"/>
      <c r="H21" s="338"/>
      <c r="I21" s="338">
        <f t="shared" si="2"/>
        <v>0</v>
      </c>
      <c r="J21" s="338">
        <f t="shared" si="3"/>
        <v>0</v>
      </c>
      <c r="K21" s="338"/>
      <c r="L21" s="338"/>
      <c r="M21" s="338">
        <f t="shared" si="4"/>
        <v>0</v>
      </c>
      <c r="N21" s="338">
        <f t="shared" si="5"/>
        <v>0</v>
      </c>
      <c r="O21" s="338">
        <f t="shared" si="6"/>
        <v>0</v>
      </c>
      <c r="P21" s="338">
        <f t="shared" si="7"/>
        <v>0</v>
      </c>
    </row>
    <row r="22" spans="1:16" s="240" customFormat="1" ht="12.75">
      <c r="A22" s="260">
        <v>12</v>
      </c>
      <c r="B22" s="195" t="s">
        <v>837</v>
      </c>
      <c r="C22" s="531">
        <v>0</v>
      </c>
      <c r="D22" s="701">
        <v>0</v>
      </c>
      <c r="E22" s="338">
        <f t="shared" si="0"/>
        <v>0</v>
      </c>
      <c r="F22" s="338">
        <f t="shared" si="1"/>
        <v>0</v>
      </c>
      <c r="G22" s="338"/>
      <c r="H22" s="338"/>
      <c r="I22" s="338">
        <f t="shared" si="2"/>
        <v>0</v>
      </c>
      <c r="J22" s="338">
        <f t="shared" si="3"/>
        <v>0</v>
      </c>
      <c r="K22" s="338"/>
      <c r="L22" s="338"/>
      <c r="M22" s="338">
        <f t="shared" si="4"/>
        <v>0</v>
      </c>
      <c r="N22" s="338">
        <f t="shared" si="5"/>
        <v>0</v>
      </c>
      <c r="O22" s="338">
        <f t="shared" si="6"/>
        <v>0</v>
      </c>
      <c r="P22" s="338">
        <f t="shared" si="7"/>
        <v>0</v>
      </c>
    </row>
    <row r="23" spans="1:16" s="240" customFormat="1" ht="12.75">
      <c r="A23" s="260">
        <v>13</v>
      </c>
      <c r="B23" s="195" t="s">
        <v>831</v>
      </c>
      <c r="C23" s="530">
        <v>0</v>
      </c>
      <c r="D23" s="701">
        <v>0</v>
      </c>
      <c r="E23" s="338">
        <f t="shared" si="0"/>
        <v>0</v>
      </c>
      <c r="F23" s="338">
        <f t="shared" si="1"/>
        <v>0</v>
      </c>
      <c r="G23" s="338"/>
      <c r="H23" s="338"/>
      <c r="I23" s="338">
        <f t="shared" si="2"/>
        <v>0</v>
      </c>
      <c r="J23" s="338">
        <f t="shared" si="3"/>
        <v>0</v>
      </c>
      <c r="K23" s="338"/>
      <c r="L23" s="338"/>
      <c r="M23" s="338">
        <f t="shared" si="4"/>
        <v>0</v>
      </c>
      <c r="N23" s="338">
        <f t="shared" si="5"/>
        <v>0</v>
      </c>
      <c r="O23" s="338">
        <f t="shared" si="6"/>
        <v>0</v>
      </c>
      <c r="P23" s="338">
        <f t="shared" si="7"/>
        <v>0</v>
      </c>
    </row>
    <row r="24" spans="1:16" s="240" customFormat="1" ht="12.75">
      <c r="A24" s="260">
        <v>14</v>
      </c>
      <c r="B24" s="195" t="s">
        <v>740</v>
      </c>
      <c r="C24" s="530">
        <v>0</v>
      </c>
      <c r="D24" s="701">
        <v>0</v>
      </c>
      <c r="E24" s="338">
        <f t="shared" si="0"/>
        <v>0</v>
      </c>
      <c r="F24" s="338">
        <f t="shared" si="1"/>
        <v>0</v>
      </c>
      <c r="G24" s="338"/>
      <c r="H24" s="338"/>
      <c r="I24" s="338">
        <f t="shared" si="2"/>
        <v>0</v>
      </c>
      <c r="J24" s="338">
        <f t="shared" si="3"/>
        <v>0</v>
      </c>
      <c r="K24" s="338"/>
      <c r="L24" s="338"/>
      <c r="M24" s="338">
        <f t="shared" si="4"/>
        <v>0</v>
      </c>
      <c r="N24" s="338">
        <f t="shared" si="5"/>
        <v>0</v>
      </c>
      <c r="O24" s="338">
        <f t="shared" si="6"/>
        <v>0</v>
      </c>
      <c r="P24" s="338">
        <f t="shared" si="7"/>
        <v>0</v>
      </c>
    </row>
    <row r="25" spans="1:16" ht="12.75">
      <c r="A25" s="260">
        <v>15</v>
      </c>
      <c r="B25" s="195" t="s">
        <v>835</v>
      </c>
      <c r="C25" s="531">
        <v>0</v>
      </c>
      <c r="D25" s="701">
        <v>0</v>
      </c>
      <c r="E25" s="338">
        <f t="shared" si="0"/>
        <v>0</v>
      </c>
      <c r="F25" s="338">
        <f t="shared" si="1"/>
        <v>0</v>
      </c>
      <c r="G25" s="338"/>
      <c r="H25" s="338"/>
      <c r="I25" s="338">
        <f t="shared" si="2"/>
        <v>0</v>
      </c>
      <c r="J25" s="338">
        <f t="shared" si="3"/>
        <v>0</v>
      </c>
      <c r="K25" s="338"/>
      <c r="L25" s="338"/>
      <c r="M25" s="338">
        <f t="shared" si="4"/>
        <v>0</v>
      </c>
      <c r="N25" s="338">
        <f t="shared" si="5"/>
        <v>0</v>
      </c>
      <c r="O25" s="338">
        <f t="shared" si="6"/>
        <v>0</v>
      </c>
      <c r="P25" s="338">
        <f t="shared" si="7"/>
        <v>0</v>
      </c>
    </row>
    <row r="26" spans="1:16" ht="12.75">
      <c r="A26" s="260">
        <v>16</v>
      </c>
      <c r="B26" s="195" t="s">
        <v>832</v>
      </c>
      <c r="C26" s="531">
        <v>0</v>
      </c>
      <c r="D26" s="701">
        <v>0</v>
      </c>
      <c r="E26" s="338">
        <f t="shared" si="0"/>
        <v>0</v>
      </c>
      <c r="F26" s="338">
        <f t="shared" si="1"/>
        <v>0</v>
      </c>
      <c r="G26" s="338"/>
      <c r="H26" s="338"/>
      <c r="I26" s="338">
        <f t="shared" si="2"/>
        <v>0</v>
      </c>
      <c r="J26" s="338">
        <f t="shared" si="3"/>
        <v>0</v>
      </c>
      <c r="K26" s="338"/>
      <c r="L26" s="338"/>
      <c r="M26" s="338">
        <f t="shared" si="4"/>
        <v>0</v>
      </c>
      <c r="N26" s="338">
        <f t="shared" si="5"/>
        <v>0</v>
      </c>
      <c r="O26" s="338">
        <f t="shared" si="6"/>
        <v>0</v>
      </c>
      <c r="P26" s="338">
        <f t="shared" si="7"/>
        <v>0</v>
      </c>
    </row>
    <row r="27" spans="1:16" ht="12.75">
      <c r="A27" s="260">
        <v>17</v>
      </c>
      <c r="B27" s="195" t="s">
        <v>733</v>
      </c>
      <c r="C27" s="530">
        <v>0</v>
      </c>
      <c r="D27" s="701">
        <v>0</v>
      </c>
      <c r="E27" s="338">
        <f t="shared" si="0"/>
        <v>0</v>
      </c>
      <c r="F27" s="338">
        <f t="shared" si="1"/>
        <v>0</v>
      </c>
      <c r="G27" s="338"/>
      <c r="H27" s="338"/>
      <c r="I27" s="338">
        <f t="shared" si="2"/>
        <v>0</v>
      </c>
      <c r="J27" s="338">
        <f t="shared" si="3"/>
        <v>0</v>
      </c>
      <c r="K27" s="338"/>
      <c r="L27" s="338"/>
      <c r="M27" s="338">
        <f t="shared" si="4"/>
        <v>0</v>
      </c>
      <c r="N27" s="338">
        <f t="shared" si="5"/>
        <v>0</v>
      </c>
      <c r="O27" s="338">
        <f t="shared" si="6"/>
        <v>0</v>
      </c>
      <c r="P27" s="338">
        <f t="shared" si="7"/>
        <v>0</v>
      </c>
    </row>
    <row r="28" spans="1:16" ht="12.75">
      <c r="A28" s="260">
        <v>18</v>
      </c>
      <c r="B28" s="195" t="s">
        <v>735</v>
      </c>
      <c r="C28" s="530">
        <v>0</v>
      </c>
      <c r="D28" s="701">
        <v>0</v>
      </c>
      <c r="E28" s="338">
        <f t="shared" si="0"/>
        <v>0</v>
      </c>
      <c r="F28" s="338">
        <f t="shared" si="1"/>
        <v>0</v>
      </c>
      <c r="G28" s="338"/>
      <c r="H28" s="338"/>
      <c r="I28" s="338">
        <f t="shared" si="2"/>
        <v>0</v>
      </c>
      <c r="J28" s="338">
        <f t="shared" si="3"/>
        <v>0</v>
      </c>
      <c r="K28" s="338"/>
      <c r="L28" s="338"/>
      <c r="M28" s="338">
        <f t="shared" si="4"/>
        <v>0</v>
      </c>
      <c r="N28" s="338">
        <f t="shared" si="5"/>
        <v>0</v>
      </c>
      <c r="O28" s="338">
        <f t="shared" si="6"/>
        <v>0</v>
      </c>
      <c r="P28" s="338">
        <f t="shared" si="7"/>
        <v>0</v>
      </c>
    </row>
    <row r="29" spans="1:16" ht="12.75">
      <c r="A29" s="260">
        <v>19</v>
      </c>
      <c r="B29" s="195" t="s">
        <v>732</v>
      </c>
      <c r="C29" s="531">
        <v>0</v>
      </c>
      <c r="D29" s="701">
        <v>0</v>
      </c>
      <c r="E29" s="338">
        <f t="shared" si="0"/>
        <v>0</v>
      </c>
      <c r="F29" s="338">
        <f t="shared" si="1"/>
        <v>0</v>
      </c>
      <c r="G29" s="338"/>
      <c r="H29" s="338"/>
      <c r="I29" s="338">
        <f t="shared" si="2"/>
        <v>0</v>
      </c>
      <c r="J29" s="338">
        <f t="shared" si="3"/>
        <v>0</v>
      </c>
      <c r="K29" s="338"/>
      <c r="L29" s="338"/>
      <c r="M29" s="338">
        <f t="shared" si="4"/>
        <v>0</v>
      </c>
      <c r="N29" s="338">
        <f t="shared" si="5"/>
        <v>0</v>
      </c>
      <c r="O29" s="338">
        <f t="shared" si="6"/>
        <v>0</v>
      </c>
      <c r="P29" s="338">
        <f t="shared" si="7"/>
        <v>0</v>
      </c>
    </row>
    <row r="30" spans="1:16" ht="12.75">
      <c r="A30" s="260">
        <v>20</v>
      </c>
      <c r="B30" s="195" t="s">
        <v>836</v>
      </c>
      <c r="C30" s="531">
        <v>0</v>
      </c>
      <c r="D30" s="701">
        <v>0</v>
      </c>
      <c r="E30" s="338">
        <f t="shared" si="0"/>
        <v>0</v>
      </c>
      <c r="F30" s="338">
        <f t="shared" si="1"/>
        <v>0</v>
      </c>
      <c r="G30" s="338"/>
      <c r="H30" s="338"/>
      <c r="I30" s="338">
        <f t="shared" si="2"/>
        <v>0</v>
      </c>
      <c r="J30" s="338">
        <f t="shared" si="3"/>
        <v>0</v>
      </c>
      <c r="K30" s="338"/>
      <c r="L30" s="338"/>
      <c r="M30" s="338">
        <f t="shared" si="4"/>
        <v>0</v>
      </c>
      <c r="N30" s="338">
        <f t="shared" si="5"/>
        <v>0</v>
      </c>
      <c r="O30" s="338">
        <f t="shared" si="6"/>
        <v>0</v>
      </c>
      <c r="P30" s="338">
        <f t="shared" si="7"/>
        <v>0</v>
      </c>
    </row>
    <row r="31" spans="1:16" ht="12.75">
      <c r="A31" s="260">
        <v>21</v>
      </c>
      <c r="B31" s="195" t="s">
        <v>729</v>
      </c>
      <c r="C31" s="530">
        <v>0</v>
      </c>
      <c r="D31" s="701">
        <v>0</v>
      </c>
      <c r="E31" s="338">
        <f t="shared" si="0"/>
        <v>0</v>
      </c>
      <c r="F31" s="338">
        <f t="shared" si="1"/>
        <v>0</v>
      </c>
      <c r="G31" s="338"/>
      <c r="H31" s="338"/>
      <c r="I31" s="338">
        <f t="shared" si="2"/>
        <v>0</v>
      </c>
      <c r="J31" s="338">
        <f t="shared" si="3"/>
        <v>0</v>
      </c>
      <c r="K31" s="338"/>
      <c r="L31" s="338"/>
      <c r="M31" s="338">
        <f t="shared" si="4"/>
        <v>0</v>
      </c>
      <c r="N31" s="338">
        <f t="shared" si="5"/>
        <v>0</v>
      </c>
      <c r="O31" s="338">
        <f t="shared" si="6"/>
        <v>0</v>
      </c>
      <c r="P31" s="338">
        <f t="shared" si="7"/>
        <v>0</v>
      </c>
    </row>
    <row r="32" spans="1:16" ht="12.75">
      <c r="A32" s="260">
        <v>22</v>
      </c>
      <c r="B32" s="195" t="s">
        <v>746</v>
      </c>
      <c r="C32" s="530">
        <v>0</v>
      </c>
      <c r="D32" s="701">
        <v>0</v>
      </c>
      <c r="E32" s="338">
        <f t="shared" si="0"/>
        <v>0</v>
      </c>
      <c r="F32" s="338">
        <f t="shared" si="1"/>
        <v>0</v>
      </c>
      <c r="G32" s="338"/>
      <c r="H32" s="338"/>
      <c r="I32" s="338">
        <f t="shared" si="2"/>
        <v>0</v>
      </c>
      <c r="J32" s="338">
        <f t="shared" si="3"/>
        <v>0</v>
      </c>
      <c r="K32" s="338"/>
      <c r="L32" s="338"/>
      <c r="M32" s="338">
        <f t="shared" si="4"/>
        <v>0</v>
      </c>
      <c r="N32" s="338">
        <f t="shared" si="5"/>
        <v>0</v>
      </c>
      <c r="O32" s="338">
        <f t="shared" si="6"/>
        <v>0</v>
      </c>
      <c r="P32" s="338">
        <f t="shared" si="7"/>
        <v>0</v>
      </c>
    </row>
    <row r="33" spans="1:16" ht="12.75">
      <c r="A33" s="260">
        <v>23</v>
      </c>
      <c r="B33" s="195" t="s">
        <v>738</v>
      </c>
      <c r="C33" s="531">
        <v>0</v>
      </c>
      <c r="D33" s="701">
        <v>0</v>
      </c>
      <c r="E33" s="338">
        <f t="shared" si="0"/>
        <v>0</v>
      </c>
      <c r="F33" s="338">
        <f t="shared" si="1"/>
        <v>0</v>
      </c>
      <c r="G33" s="338"/>
      <c r="H33" s="338"/>
      <c r="I33" s="338">
        <f t="shared" si="2"/>
        <v>0</v>
      </c>
      <c r="J33" s="338">
        <f t="shared" si="3"/>
        <v>0</v>
      </c>
      <c r="K33" s="338"/>
      <c r="L33" s="338"/>
      <c r="M33" s="338">
        <f t="shared" si="4"/>
        <v>0</v>
      </c>
      <c r="N33" s="338">
        <f t="shared" si="5"/>
        <v>0</v>
      </c>
      <c r="O33" s="338">
        <f t="shared" si="6"/>
        <v>0</v>
      </c>
      <c r="P33" s="338">
        <f t="shared" si="7"/>
        <v>0</v>
      </c>
    </row>
    <row r="34" spans="1:16" ht="12.75">
      <c r="A34" s="260">
        <v>24</v>
      </c>
      <c r="B34" s="195" t="s">
        <v>730</v>
      </c>
      <c r="C34" s="531">
        <v>0</v>
      </c>
      <c r="D34" s="701">
        <v>0</v>
      </c>
      <c r="E34" s="338">
        <f t="shared" si="0"/>
        <v>0</v>
      </c>
      <c r="F34" s="338">
        <f t="shared" si="1"/>
        <v>0</v>
      </c>
      <c r="G34" s="338"/>
      <c r="H34" s="338"/>
      <c r="I34" s="338">
        <f t="shared" si="2"/>
        <v>0</v>
      </c>
      <c r="J34" s="338">
        <f t="shared" si="3"/>
        <v>0</v>
      </c>
      <c r="K34" s="338"/>
      <c r="L34" s="338"/>
      <c r="M34" s="338">
        <f t="shared" si="4"/>
        <v>0</v>
      </c>
      <c r="N34" s="338">
        <f t="shared" si="5"/>
        <v>0</v>
      </c>
      <c r="O34" s="338">
        <f t="shared" si="6"/>
        <v>0</v>
      </c>
      <c r="P34" s="338">
        <f t="shared" si="7"/>
        <v>0</v>
      </c>
    </row>
    <row r="35" spans="1:16" ht="12.75">
      <c r="A35" s="260">
        <v>25</v>
      </c>
      <c r="B35" s="195" t="s">
        <v>736</v>
      </c>
      <c r="C35" s="530">
        <v>0</v>
      </c>
      <c r="D35" s="701">
        <v>0</v>
      </c>
      <c r="E35" s="338">
        <f t="shared" si="0"/>
        <v>0</v>
      </c>
      <c r="F35" s="338">
        <f t="shared" si="1"/>
        <v>0</v>
      </c>
      <c r="G35" s="338"/>
      <c r="H35" s="338"/>
      <c r="I35" s="338">
        <f t="shared" si="2"/>
        <v>0</v>
      </c>
      <c r="J35" s="338">
        <f t="shared" si="3"/>
        <v>0</v>
      </c>
      <c r="K35" s="338"/>
      <c r="L35" s="338"/>
      <c r="M35" s="338">
        <f t="shared" si="4"/>
        <v>0</v>
      </c>
      <c r="N35" s="338">
        <f t="shared" si="5"/>
        <v>0</v>
      </c>
      <c r="O35" s="338">
        <f t="shared" si="6"/>
        <v>0</v>
      </c>
      <c r="P35" s="338">
        <f t="shared" si="7"/>
        <v>0</v>
      </c>
    </row>
    <row r="36" spans="1:16" ht="12.75">
      <c r="A36" s="260">
        <v>26</v>
      </c>
      <c r="B36" s="195" t="s">
        <v>744</v>
      </c>
      <c r="C36" s="530">
        <v>0</v>
      </c>
      <c r="D36" s="701">
        <v>0</v>
      </c>
      <c r="E36" s="338">
        <f t="shared" si="0"/>
        <v>0</v>
      </c>
      <c r="F36" s="338">
        <f t="shared" si="1"/>
        <v>0</v>
      </c>
      <c r="G36" s="338"/>
      <c r="H36" s="338"/>
      <c r="I36" s="338">
        <f t="shared" si="2"/>
        <v>0</v>
      </c>
      <c r="J36" s="338">
        <f t="shared" si="3"/>
        <v>0</v>
      </c>
      <c r="K36" s="338"/>
      <c r="L36" s="338"/>
      <c r="M36" s="338">
        <f t="shared" si="4"/>
        <v>0</v>
      </c>
      <c r="N36" s="338">
        <f t="shared" si="5"/>
        <v>0</v>
      </c>
      <c r="O36" s="338">
        <f t="shared" si="6"/>
        <v>0</v>
      </c>
      <c r="P36" s="338">
        <f t="shared" si="7"/>
        <v>0</v>
      </c>
    </row>
    <row r="37" spans="1:16" ht="12.75">
      <c r="A37" s="262">
        <v>27</v>
      </c>
      <c r="B37" s="195" t="s">
        <v>838</v>
      </c>
      <c r="C37" s="531">
        <v>0</v>
      </c>
      <c r="D37" s="701">
        <v>0</v>
      </c>
      <c r="E37" s="338">
        <f t="shared" si="0"/>
        <v>0</v>
      </c>
      <c r="F37" s="338">
        <f t="shared" si="1"/>
        <v>0</v>
      </c>
      <c r="G37" s="338"/>
      <c r="H37" s="338"/>
      <c r="I37" s="338">
        <f t="shared" si="2"/>
        <v>0</v>
      </c>
      <c r="J37" s="338">
        <f t="shared" si="3"/>
        <v>0</v>
      </c>
      <c r="K37" s="338"/>
      <c r="L37" s="338"/>
      <c r="M37" s="338">
        <f t="shared" si="4"/>
        <v>0</v>
      </c>
      <c r="N37" s="338">
        <f t="shared" si="5"/>
        <v>0</v>
      </c>
      <c r="O37" s="338">
        <f t="shared" si="6"/>
        <v>0</v>
      </c>
      <c r="P37" s="338">
        <f t="shared" si="7"/>
        <v>0</v>
      </c>
    </row>
    <row r="38" spans="1:16" ht="12.75">
      <c r="A38" s="1174" t="s">
        <v>19</v>
      </c>
      <c r="B38" s="1181"/>
      <c r="C38" s="288">
        <f>SUM(C11:C37)</f>
        <v>0</v>
      </c>
      <c r="D38" s="701">
        <v>0</v>
      </c>
      <c r="E38" s="343">
        <f>SUM(E11:E37)</f>
        <v>0</v>
      </c>
      <c r="F38" s="343">
        <f aca="true" t="shared" si="8" ref="F38:P38">SUM(F11:F37)</f>
        <v>0</v>
      </c>
      <c r="G38" s="343">
        <f t="shared" si="8"/>
        <v>0</v>
      </c>
      <c r="H38" s="343">
        <f t="shared" si="8"/>
        <v>0</v>
      </c>
      <c r="I38" s="343">
        <f t="shared" si="8"/>
        <v>0</v>
      </c>
      <c r="J38" s="343">
        <f t="shared" si="8"/>
        <v>0</v>
      </c>
      <c r="K38" s="343">
        <f t="shared" si="8"/>
        <v>0</v>
      </c>
      <c r="L38" s="343">
        <f t="shared" si="8"/>
        <v>0</v>
      </c>
      <c r="M38" s="343">
        <f t="shared" si="8"/>
        <v>0</v>
      </c>
      <c r="N38" s="343">
        <f t="shared" si="8"/>
        <v>0</v>
      </c>
      <c r="O38" s="343">
        <f t="shared" si="8"/>
        <v>0</v>
      </c>
      <c r="P38" s="343">
        <f t="shared" si="8"/>
        <v>0</v>
      </c>
    </row>
    <row r="39" spans="1:4" ht="12.75">
      <c r="A39" s="237"/>
      <c r="B39" s="237"/>
      <c r="C39" s="237" t="s">
        <v>858</v>
      </c>
      <c r="D39" s="237"/>
    </row>
    <row r="40" spans="1:8" ht="12.75">
      <c r="A40" s="238" t="s">
        <v>8</v>
      </c>
      <c r="B40" s="239"/>
      <c r="C40" s="239"/>
      <c r="D40" s="237"/>
      <c r="E40" s="237"/>
      <c r="F40" s="237"/>
      <c r="G40" s="237"/>
      <c r="H40" s="237"/>
    </row>
    <row r="41" spans="1:3" ht="12.75">
      <c r="A41" s="240" t="s">
        <v>9</v>
      </c>
      <c r="B41" s="240"/>
      <c r="C41" s="240"/>
    </row>
    <row r="42" spans="1:3" ht="12.75">
      <c r="A42" s="240" t="s">
        <v>10</v>
      </c>
      <c r="B42" s="240"/>
      <c r="C42" s="240"/>
    </row>
    <row r="43" spans="1:16" ht="12.75">
      <c r="A43" s="1163" t="s">
        <v>230</v>
      </c>
      <c r="B43" s="1163"/>
      <c r="C43" s="1163"/>
      <c r="D43" s="1163"/>
      <c r="L43" s="237"/>
      <c r="M43" s="244"/>
      <c r="N43" s="244"/>
      <c r="O43" s="244"/>
      <c r="P43" s="244"/>
    </row>
    <row r="44" spans="1:3" ht="12.75">
      <c r="A44" s="238" t="s">
        <v>115</v>
      </c>
      <c r="B44" s="240" t="s">
        <v>197</v>
      </c>
      <c r="C44" s="240"/>
    </row>
    <row r="45" spans="1:6" ht="12.75">
      <c r="A45" s="238" t="s">
        <v>145</v>
      </c>
      <c r="B45" s="1163" t="s">
        <v>657</v>
      </c>
      <c r="C45" s="1163"/>
      <c r="D45" s="1163"/>
      <c r="E45" s="1163"/>
      <c r="F45" s="371"/>
    </row>
    <row r="46" spans="1:6" ht="12.75">
      <c r="A46" s="240" t="s">
        <v>147</v>
      </c>
      <c r="B46" s="1163" t="s">
        <v>658</v>
      </c>
      <c r="C46" s="1163"/>
      <c r="D46" s="1163"/>
      <c r="E46" s="1163"/>
      <c r="F46" s="371"/>
    </row>
    <row r="47" spans="1:16" ht="12.75">
      <c r="A47" s="240" t="s">
        <v>167</v>
      </c>
      <c r="B47" s="1163" t="s">
        <v>660</v>
      </c>
      <c r="C47" s="1163"/>
      <c r="D47" s="1163"/>
      <c r="E47" s="1163"/>
      <c r="F47" s="1163"/>
      <c r="G47" s="1163"/>
      <c r="H47" s="1163"/>
      <c r="I47" s="1163"/>
      <c r="J47" s="1163"/>
      <c r="K47" s="1163"/>
      <c r="L47" s="1163"/>
      <c r="M47" s="1163"/>
      <c r="N47" s="1163"/>
      <c r="O47" s="1163"/>
      <c r="P47" s="1163"/>
    </row>
    <row r="48" spans="1:3" ht="12.75">
      <c r="A48" s="240" t="s">
        <v>119</v>
      </c>
      <c r="B48" s="240" t="s">
        <v>247</v>
      </c>
      <c r="C48" s="240"/>
    </row>
    <row r="49" spans="1:3" ht="12.75">
      <c r="A49" s="240" t="s">
        <v>120</v>
      </c>
      <c r="B49" s="240" t="s">
        <v>249</v>
      </c>
      <c r="C49" s="240"/>
    </row>
    <row r="50" spans="1:3" ht="12.75" customHeight="1">
      <c r="A50" s="240"/>
      <c r="B50" s="240" t="s">
        <v>250</v>
      </c>
      <c r="C50" s="240"/>
    </row>
    <row r="51" spans="1:3" ht="12.75" customHeight="1">
      <c r="A51" s="240"/>
      <c r="B51" s="240"/>
      <c r="C51" s="240"/>
    </row>
    <row r="52" spans="1:15" ht="12.75" customHeight="1">
      <c r="A52" s="240"/>
      <c r="B52" s="240"/>
      <c r="C52" s="240"/>
      <c r="N52" s="881" t="s">
        <v>13</v>
      </c>
      <c r="O52" s="881"/>
    </row>
    <row r="53" spans="5:16" ht="12.75" customHeight="1">
      <c r="E53" s="240"/>
      <c r="F53" s="366"/>
      <c r="G53" s="366"/>
      <c r="H53" s="366"/>
      <c r="I53" s="366"/>
      <c r="J53" s="366"/>
      <c r="K53" s="83"/>
      <c r="L53" s="881" t="s">
        <v>14</v>
      </c>
      <c r="M53" s="881"/>
      <c r="N53" s="881"/>
      <c r="O53" s="881"/>
      <c r="P53" s="83"/>
    </row>
    <row r="54" spans="5:16" ht="12.75" customHeight="1">
      <c r="E54" s="366"/>
      <c r="F54" s="366"/>
      <c r="G54" s="366"/>
      <c r="H54" s="366"/>
      <c r="I54" s="366"/>
      <c r="J54" s="366"/>
      <c r="K54" s="881" t="s">
        <v>637</v>
      </c>
      <c r="L54" s="881"/>
      <c r="M54" s="881"/>
      <c r="N54" s="881"/>
      <c r="O54" s="881"/>
      <c r="P54" s="881"/>
    </row>
    <row r="55" spans="1:16" ht="12.75">
      <c r="A55" s="240"/>
      <c r="B55" s="240"/>
      <c r="F55" s="240"/>
      <c r="G55" s="240"/>
      <c r="H55" s="240"/>
      <c r="I55" s="240"/>
      <c r="J55" s="240"/>
      <c r="K55" s="14"/>
      <c r="L55" s="14"/>
      <c r="M55" s="1" t="s">
        <v>84</v>
      </c>
      <c r="N55" s="1"/>
      <c r="O55" s="1"/>
      <c r="P55" s="1"/>
    </row>
    <row r="57" spans="1:16" ht="12.75">
      <c r="A57" s="1158"/>
      <c r="B57" s="1158"/>
      <c r="C57" s="1158"/>
      <c r="D57" s="1158"/>
      <c r="E57" s="1158"/>
      <c r="F57" s="1158"/>
      <c r="G57" s="1158"/>
      <c r="H57" s="1158"/>
      <c r="I57" s="1158"/>
      <c r="J57" s="1158"/>
      <c r="K57" s="1158"/>
      <c r="L57" s="1158"/>
      <c r="M57" s="1158"/>
      <c r="N57" s="1158"/>
      <c r="O57" s="1158"/>
      <c r="P57" s="1158"/>
    </row>
  </sheetData>
  <sheetProtection/>
  <mergeCells count="24">
    <mergeCell ref="B8:B9"/>
    <mergeCell ref="C8:C9"/>
    <mergeCell ref="D8:D9"/>
    <mergeCell ref="E8:H8"/>
    <mergeCell ref="I8:L8"/>
    <mergeCell ref="M8:O8"/>
    <mergeCell ref="A38:B38"/>
    <mergeCell ref="P8:P9"/>
    <mergeCell ref="H7:P7"/>
    <mergeCell ref="A8:A9"/>
    <mergeCell ref="D1:E1"/>
    <mergeCell ref="O1:P1"/>
    <mergeCell ref="A2:P2"/>
    <mergeCell ref="A3:P3"/>
    <mergeCell ref="A5:P5"/>
    <mergeCell ref="A6:P6"/>
    <mergeCell ref="A57:P57"/>
    <mergeCell ref="L53:O53"/>
    <mergeCell ref="K54:P54"/>
    <mergeCell ref="A43:D43"/>
    <mergeCell ref="B45:E45"/>
    <mergeCell ref="B46:E46"/>
    <mergeCell ref="B47:P47"/>
    <mergeCell ref="N52:O52"/>
  </mergeCells>
  <printOptions horizontalCentered="1"/>
  <pageMargins left="0.7086614173228347" right="0.7086614173228347" top="0.72" bottom="0" header="0.94" footer="0.31496062992125984"/>
  <pageSetup fitToHeight="1" fitToWidth="1" horizontalDpi="600" verticalDpi="600" orientation="landscape" paperSize="9" scale="68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T44"/>
  <sheetViews>
    <sheetView view="pageBreakPreview" zoomScale="90" zoomScaleSheetLayoutView="90" zoomScalePageLayoutView="0" workbookViewId="0" topLeftCell="A1">
      <selection activeCell="A11" sqref="A11:B37"/>
    </sheetView>
  </sheetViews>
  <sheetFormatPr defaultColWidth="9.140625" defaultRowHeight="12.75"/>
  <cols>
    <col min="1" max="1" width="9.140625" style="75" customWidth="1"/>
    <col min="2" max="2" width="15.421875" style="75" customWidth="1"/>
    <col min="3" max="4" width="8.57421875" style="75" customWidth="1"/>
    <col min="5" max="5" width="8.7109375" style="75" customWidth="1"/>
    <col min="6" max="6" width="8.57421875" style="75" customWidth="1"/>
    <col min="7" max="7" width="9.7109375" style="75" customWidth="1"/>
    <col min="8" max="8" width="10.28125" style="75" customWidth="1"/>
    <col min="9" max="9" width="9.7109375" style="75" customWidth="1"/>
    <col min="10" max="10" width="9.28125" style="75" customWidth="1"/>
    <col min="11" max="11" width="7.00390625" style="75" customWidth="1"/>
    <col min="12" max="12" width="7.28125" style="75" customWidth="1"/>
    <col min="13" max="13" width="7.421875" style="75" customWidth="1"/>
    <col min="14" max="14" width="7.8515625" style="75" customWidth="1"/>
    <col min="15" max="15" width="11.421875" style="75" customWidth="1"/>
    <col min="16" max="16" width="12.28125" style="75" customWidth="1"/>
    <col min="17" max="17" width="11.57421875" style="75" customWidth="1"/>
    <col min="18" max="18" width="19.28125" style="75" customWidth="1"/>
    <col min="19" max="19" width="9.00390625" style="75" customWidth="1"/>
    <col min="20" max="20" width="9.140625" style="75" hidden="1" customWidth="1"/>
    <col min="21" max="16384" width="9.140625" style="75" customWidth="1"/>
  </cols>
  <sheetData>
    <row r="1" spans="7:19" s="15" customFormat="1" ht="15.75">
      <c r="G1" s="901" t="s">
        <v>0</v>
      </c>
      <c r="H1" s="901"/>
      <c r="I1" s="901"/>
      <c r="J1" s="901"/>
      <c r="K1" s="901"/>
      <c r="L1" s="901"/>
      <c r="M1" s="901"/>
      <c r="N1" s="39"/>
      <c r="O1" s="39"/>
      <c r="R1" s="1000" t="s">
        <v>771</v>
      </c>
      <c r="S1" s="1000"/>
    </row>
    <row r="2" spans="2:15" s="15" customFormat="1" ht="20.25">
      <c r="B2" s="123"/>
      <c r="E2" s="902" t="s">
        <v>859</v>
      </c>
      <c r="F2" s="902"/>
      <c r="G2" s="902"/>
      <c r="H2" s="902"/>
      <c r="I2" s="902"/>
      <c r="J2" s="902"/>
      <c r="K2" s="902"/>
      <c r="L2" s="902"/>
      <c r="M2" s="902"/>
      <c r="N2" s="902"/>
      <c r="O2" s="902"/>
    </row>
    <row r="3" spans="2:10" s="15" customFormat="1" ht="20.25">
      <c r="B3" s="121"/>
      <c r="C3" s="121"/>
      <c r="D3" s="121"/>
      <c r="E3" s="121"/>
      <c r="F3" s="121"/>
      <c r="G3" s="121"/>
      <c r="H3" s="121"/>
      <c r="I3" s="121"/>
      <c r="J3" s="121"/>
    </row>
    <row r="4" spans="2:20" ht="18">
      <c r="B4" s="1188" t="s">
        <v>997</v>
      </c>
      <c r="C4" s="1188"/>
      <c r="D4" s="1188"/>
      <c r="E4" s="1188"/>
      <c r="F4" s="1188"/>
      <c r="G4" s="1188"/>
      <c r="H4" s="1188"/>
      <c r="I4" s="1188"/>
      <c r="J4" s="1188"/>
      <c r="K4" s="1188"/>
      <c r="L4" s="1188"/>
      <c r="M4" s="1188"/>
      <c r="N4" s="1188"/>
      <c r="O4" s="1188"/>
      <c r="P4" s="1188"/>
      <c r="Q4" s="1188"/>
      <c r="R4" s="1188"/>
      <c r="S4" s="1188"/>
      <c r="T4" s="1188"/>
    </row>
    <row r="5" spans="3:20" ht="15">
      <c r="C5" s="76"/>
      <c r="D5" s="76"/>
      <c r="E5" s="76"/>
      <c r="F5" s="76"/>
      <c r="G5" s="76"/>
      <c r="H5" s="76"/>
      <c r="M5" s="76"/>
      <c r="N5" s="76"/>
      <c r="O5" s="76"/>
      <c r="P5" s="76"/>
      <c r="Q5" s="76"/>
      <c r="R5" s="76"/>
      <c r="S5" s="76"/>
      <c r="T5" s="76"/>
    </row>
    <row r="6" spans="1:2" ht="15">
      <c r="A6" s="35" t="s">
        <v>634</v>
      </c>
      <c r="B6" s="35"/>
    </row>
    <row r="7" ht="15">
      <c r="B7" s="78"/>
    </row>
    <row r="8" spans="1:18" s="79" customFormat="1" ht="32.25" customHeight="1">
      <c r="A8" s="871" t="s">
        <v>2</v>
      </c>
      <c r="B8" s="1189" t="s">
        <v>3</v>
      </c>
      <c r="C8" s="1194" t="s">
        <v>263</v>
      </c>
      <c r="D8" s="1194"/>
      <c r="E8" s="1194"/>
      <c r="F8" s="1194"/>
      <c r="G8" s="1191" t="s">
        <v>642</v>
      </c>
      <c r="H8" s="1192"/>
      <c r="I8" s="1192"/>
      <c r="J8" s="1195"/>
      <c r="K8" s="1191" t="s">
        <v>226</v>
      </c>
      <c r="L8" s="1192"/>
      <c r="M8" s="1192"/>
      <c r="N8" s="1195"/>
      <c r="O8" s="1191" t="s">
        <v>108</v>
      </c>
      <c r="P8" s="1192"/>
      <c r="Q8" s="1192"/>
      <c r="R8" s="1193"/>
    </row>
    <row r="9" spans="1:19" s="80" customFormat="1" ht="33.75" customHeight="1">
      <c r="A9" s="871"/>
      <c r="B9" s="1190"/>
      <c r="C9" s="85" t="s">
        <v>94</v>
      </c>
      <c r="D9" s="85" t="s">
        <v>98</v>
      </c>
      <c r="E9" s="85" t="s">
        <v>99</v>
      </c>
      <c r="F9" s="85" t="s">
        <v>19</v>
      </c>
      <c r="G9" s="85" t="s">
        <v>94</v>
      </c>
      <c r="H9" s="85" t="s">
        <v>98</v>
      </c>
      <c r="I9" s="85" t="s">
        <v>99</v>
      </c>
      <c r="J9" s="85" t="s">
        <v>19</v>
      </c>
      <c r="K9" s="85" t="s">
        <v>94</v>
      </c>
      <c r="L9" s="85" t="s">
        <v>98</v>
      </c>
      <c r="M9" s="85" t="s">
        <v>99</v>
      </c>
      <c r="N9" s="85" t="s">
        <v>19</v>
      </c>
      <c r="O9" s="85" t="s">
        <v>155</v>
      </c>
      <c r="P9" s="85" t="s">
        <v>156</v>
      </c>
      <c r="Q9" s="154" t="s">
        <v>157</v>
      </c>
      <c r="R9" s="85" t="s">
        <v>158</v>
      </c>
      <c r="S9" s="117"/>
    </row>
    <row r="10" spans="1:18" s="156" customFormat="1" ht="15.75" customHeight="1">
      <c r="A10" s="5">
        <v>1</v>
      </c>
      <c r="B10" s="84">
        <v>2</v>
      </c>
      <c r="C10" s="85">
        <v>3</v>
      </c>
      <c r="D10" s="85">
        <v>4</v>
      </c>
      <c r="E10" s="85">
        <v>5</v>
      </c>
      <c r="F10" s="85">
        <v>6</v>
      </c>
      <c r="G10" s="85">
        <v>7</v>
      </c>
      <c r="H10" s="85">
        <v>8</v>
      </c>
      <c r="I10" s="85">
        <v>9</v>
      </c>
      <c r="J10" s="85">
        <v>10</v>
      </c>
      <c r="K10" s="85">
        <v>11</v>
      </c>
      <c r="L10" s="85">
        <v>12</v>
      </c>
      <c r="M10" s="85">
        <v>13</v>
      </c>
      <c r="N10" s="85">
        <v>14</v>
      </c>
      <c r="O10" s="85">
        <v>15</v>
      </c>
      <c r="P10" s="85">
        <v>16</v>
      </c>
      <c r="Q10" s="85">
        <v>17</v>
      </c>
      <c r="R10" s="84">
        <v>18</v>
      </c>
    </row>
    <row r="11" spans="1:18" s="156" customFormat="1" ht="15.75" customHeight="1">
      <c r="A11" s="262">
        <v>1</v>
      </c>
      <c r="B11" s="195" t="s">
        <v>841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4"/>
    </row>
    <row r="12" spans="1:18" s="156" customFormat="1" ht="15.75" customHeight="1">
      <c r="A12" s="260">
        <v>2</v>
      </c>
      <c r="B12" s="195" t="s">
        <v>833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4"/>
    </row>
    <row r="13" spans="1:18" s="156" customFormat="1" ht="15.75" customHeight="1">
      <c r="A13" s="260">
        <v>3</v>
      </c>
      <c r="B13" s="195" t="s">
        <v>839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4"/>
    </row>
    <row r="14" spans="1:18" s="156" customFormat="1" ht="15.75" customHeight="1">
      <c r="A14" s="260">
        <v>4</v>
      </c>
      <c r="B14" s="195" t="s">
        <v>743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4"/>
    </row>
    <row r="15" spans="1:18" s="156" customFormat="1" ht="15.75" customHeight="1">
      <c r="A15" s="260">
        <v>5</v>
      </c>
      <c r="B15" s="195" t="s">
        <v>748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4"/>
    </row>
    <row r="16" spans="1:18" s="156" customFormat="1" ht="15.75" customHeight="1">
      <c r="A16" s="260">
        <v>6</v>
      </c>
      <c r="B16" s="195" t="s">
        <v>747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4"/>
    </row>
    <row r="17" spans="1:18" s="156" customFormat="1" ht="15.75" customHeight="1">
      <c r="A17" s="260">
        <v>7</v>
      </c>
      <c r="B17" s="195" t="s">
        <v>737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4"/>
    </row>
    <row r="18" spans="1:18" s="156" customFormat="1" ht="15.75" customHeight="1">
      <c r="A18" s="260">
        <v>8</v>
      </c>
      <c r="B18" s="195" t="s">
        <v>749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4"/>
    </row>
    <row r="19" spans="1:18" s="156" customFormat="1" ht="15.75" customHeight="1">
      <c r="A19" s="260">
        <v>9</v>
      </c>
      <c r="B19" s="195" t="s">
        <v>834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4"/>
    </row>
    <row r="20" spans="1:18" s="156" customFormat="1" ht="15.75" customHeight="1">
      <c r="A20" s="260">
        <v>10</v>
      </c>
      <c r="B20" s="195" t="s">
        <v>739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4"/>
    </row>
    <row r="21" spans="1:18" s="156" customFormat="1" ht="15.75" customHeight="1">
      <c r="A21" s="260">
        <v>11</v>
      </c>
      <c r="B21" s="195" t="s">
        <v>840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4"/>
    </row>
    <row r="22" spans="1:18" s="156" customFormat="1" ht="15.75" customHeight="1">
      <c r="A22" s="260">
        <v>12</v>
      </c>
      <c r="B22" s="195" t="s">
        <v>837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4"/>
    </row>
    <row r="23" spans="1:18" s="156" customFormat="1" ht="15.75" customHeight="1">
      <c r="A23" s="260">
        <v>13</v>
      </c>
      <c r="B23" s="195" t="s">
        <v>831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4"/>
    </row>
    <row r="24" spans="1:18" s="156" customFormat="1" ht="15.75" customHeight="1">
      <c r="A24" s="260">
        <v>14</v>
      </c>
      <c r="B24" s="195" t="s">
        <v>740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4"/>
    </row>
    <row r="25" spans="1:18" s="156" customFormat="1" ht="15.75" customHeight="1">
      <c r="A25" s="260">
        <v>15</v>
      </c>
      <c r="B25" s="195" t="s">
        <v>835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4"/>
    </row>
    <row r="26" spans="1:18" s="156" customFormat="1" ht="15.75" customHeight="1">
      <c r="A26" s="260">
        <v>16</v>
      </c>
      <c r="B26" s="195" t="s">
        <v>832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4"/>
    </row>
    <row r="27" spans="1:18" s="156" customFormat="1" ht="15.75" customHeight="1">
      <c r="A27" s="260">
        <v>17</v>
      </c>
      <c r="B27" s="195" t="s">
        <v>733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4"/>
    </row>
    <row r="28" spans="1:18" s="156" customFormat="1" ht="15.75" customHeight="1">
      <c r="A28" s="260">
        <v>18</v>
      </c>
      <c r="B28" s="195" t="s">
        <v>735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4"/>
    </row>
    <row r="29" spans="1:18" s="156" customFormat="1" ht="15.75" customHeight="1">
      <c r="A29" s="260">
        <v>19</v>
      </c>
      <c r="B29" s="195" t="s">
        <v>732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4"/>
    </row>
    <row r="30" spans="1:18" s="156" customFormat="1" ht="15.75" customHeight="1">
      <c r="A30" s="260">
        <v>20</v>
      </c>
      <c r="B30" s="195" t="s">
        <v>836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4"/>
    </row>
    <row r="31" spans="1:18" s="156" customFormat="1" ht="15.75" customHeight="1">
      <c r="A31" s="260">
        <v>21</v>
      </c>
      <c r="B31" s="195" t="s">
        <v>729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4"/>
    </row>
    <row r="32" spans="1:18" s="156" customFormat="1" ht="15.75" customHeight="1">
      <c r="A32" s="260">
        <v>22</v>
      </c>
      <c r="B32" s="195" t="s">
        <v>746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4"/>
    </row>
    <row r="33" spans="1:18" s="156" customFormat="1" ht="15.75" customHeight="1">
      <c r="A33" s="260">
        <v>23</v>
      </c>
      <c r="B33" s="195" t="s">
        <v>738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4"/>
    </row>
    <row r="34" spans="1:18" s="156" customFormat="1" ht="15.75" customHeight="1">
      <c r="A34" s="260">
        <v>24</v>
      </c>
      <c r="B34" s="195" t="s">
        <v>730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4"/>
    </row>
    <row r="35" spans="1:18" s="156" customFormat="1" ht="15.75" customHeight="1">
      <c r="A35" s="260">
        <v>25</v>
      </c>
      <c r="B35" s="195" t="s">
        <v>736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4"/>
    </row>
    <row r="36" spans="1:18" ht="15">
      <c r="A36" s="260">
        <v>26</v>
      </c>
      <c r="B36" s="195" t="s">
        <v>744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</row>
    <row r="37" spans="1:18" ht="15">
      <c r="A37" s="262">
        <v>27</v>
      </c>
      <c r="B37" s="195" t="s">
        <v>838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1:18" ht="15.75">
      <c r="A38" s="250" t="s">
        <v>19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ht="36" customHeight="1"/>
    <row r="41" spans="1:19" s="15" customFormat="1" ht="12.75">
      <c r="A41" s="14" t="s">
        <v>12</v>
      </c>
      <c r="G41" s="14"/>
      <c r="H41" s="14"/>
      <c r="K41" s="14"/>
      <c r="L41" s="14"/>
      <c r="M41" s="14"/>
      <c r="N41" s="14"/>
      <c r="O41" s="881" t="s">
        <v>13</v>
      </c>
      <c r="P41" s="881"/>
      <c r="Q41" s="83"/>
      <c r="R41" s="14"/>
      <c r="S41" s="83"/>
    </row>
    <row r="42" spans="10:19" s="15" customFormat="1" ht="12.75" customHeight="1">
      <c r="J42" s="14"/>
      <c r="K42" s="35"/>
      <c r="L42" s="35"/>
      <c r="M42" s="83"/>
      <c r="N42" s="881" t="s">
        <v>14</v>
      </c>
      <c r="O42" s="881"/>
      <c r="P42" s="881"/>
      <c r="Q42" s="881"/>
      <c r="R42" s="83"/>
      <c r="S42" s="35"/>
    </row>
    <row r="43" spans="10:19" s="15" customFormat="1" ht="12.75" customHeight="1">
      <c r="J43" s="35"/>
      <c r="K43" s="35"/>
      <c r="L43" s="35"/>
      <c r="M43" s="881" t="s">
        <v>637</v>
      </c>
      <c r="N43" s="881"/>
      <c r="O43" s="881"/>
      <c r="P43" s="881"/>
      <c r="Q43" s="881"/>
      <c r="R43" s="881"/>
      <c r="S43" s="35"/>
    </row>
    <row r="44" spans="1:19" s="15" customFormat="1" ht="12.75" customHeight="1">
      <c r="A44" s="14"/>
      <c r="B44" s="14"/>
      <c r="K44" s="14"/>
      <c r="L44" s="14"/>
      <c r="M44" s="14"/>
      <c r="N44" s="14"/>
      <c r="O44" s="1" t="s">
        <v>84</v>
      </c>
      <c r="P44" s="1"/>
      <c r="Q44" s="1"/>
      <c r="R44" s="1"/>
      <c r="S44" s="35"/>
    </row>
  </sheetData>
  <sheetProtection/>
  <mergeCells count="13">
    <mergeCell ref="M43:R43"/>
    <mergeCell ref="G1:M1"/>
    <mergeCell ref="E2:O2"/>
    <mergeCell ref="R1:S1"/>
    <mergeCell ref="C8:F8"/>
    <mergeCell ref="K8:N8"/>
    <mergeCell ref="G8:J8"/>
    <mergeCell ref="A8:A9"/>
    <mergeCell ref="B4:T4"/>
    <mergeCell ref="B8:B9"/>
    <mergeCell ref="O8:R8"/>
    <mergeCell ref="O41:P41"/>
    <mergeCell ref="N42:Q42"/>
  </mergeCells>
  <printOptions horizontalCentered="1"/>
  <pageMargins left="0.7086614173228347" right="0.7086614173228347" top="0.63" bottom="0" header="0.79" footer="0.31496062992125984"/>
  <pageSetup fitToHeight="1" fitToWidth="1" horizontalDpi="600" verticalDpi="600" orientation="landscape" paperSize="9" scale="69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S43"/>
  <sheetViews>
    <sheetView view="pageBreakPreview" zoomScale="80" zoomScaleSheetLayoutView="80" zoomScalePageLayoutView="0" workbookViewId="0" topLeftCell="C1">
      <selection activeCell="A11" sqref="A11:B37"/>
    </sheetView>
  </sheetViews>
  <sheetFormatPr defaultColWidth="9.140625" defaultRowHeight="12.75"/>
  <cols>
    <col min="1" max="1" width="9.140625" style="75" customWidth="1"/>
    <col min="2" max="2" width="11.28125" style="75" customWidth="1"/>
    <col min="3" max="3" width="15.421875" style="75" customWidth="1"/>
    <col min="4" max="4" width="14.8515625" style="75" customWidth="1"/>
    <col min="5" max="5" width="11.8515625" style="75" customWidth="1"/>
    <col min="6" max="6" width="9.8515625" style="75" customWidth="1"/>
    <col min="7" max="7" width="12.7109375" style="75" customWidth="1"/>
    <col min="8" max="9" width="11.00390625" style="75" customWidth="1"/>
    <col min="10" max="10" width="14.140625" style="75" customWidth="1"/>
    <col min="11" max="11" width="12.28125" style="75" customWidth="1"/>
    <col min="12" max="12" width="13.140625" style="75" customWidth="1"/>
    <col min="13" max="13" width="9.7109375" style="75" customWidth="1"/>
    <col min="14" max="14" width="9.57421875" style="75" customWidth="1"/>
    <col min="15" max="15" width="12.7109375" style="75" customWidth="1"/>
    <col min="16" max="16" width="13.28125" style="75" customWidth="1"/>
    <col min="17" max="17" width="11.28125" style="75" customWidth="1"/>
    <col min="18" max="18" width="9.28125" style="75" customWidth="1"/>
    <col min="19" max="19" width="9.140625" style="75" customWidth="1"/>
    <col min="20" max="20" width="12.28125" style="75" customWidth="1"/>
    <col min="21" max="16384" width="9.140625" style="75" customWidth="1"/>
  </cols>
  <sheetData>
    <row r="1" spans="3:18" s="15" customFormat="1" ht="15.75">
      <c r="C1" s="44"/>
      <c r="D1" s="44"/>
      <c r="E1" s="44"/>
      <c r="F1" s="44"/>
      <c r="G1" s="44"/>
      <c r="H1" s="44"/>
      <c r="I1" s="106" t="s">
        <v>0</v>
      </c>
      <c r="J1" s="44"/>
      <c r="Q1" s="1000" t="s">
        <v>772</v>
      </c>
      <c r="R1" s="1000"/>
    </row>
    <row r="2" spans="7:17" s="15" customFormat="1" ht="20.25">
      <c r="G2" s="902" t="s">
        <v>859</v>
      </c>
      <c r="H2" s="902"/>
      <c r="I2" s="902"/>
      <c r="J2" s="902"/>
      <c r="K2" s="902"/>
      <c r="L2" s="902"/>
      <c r="M2" s="902"/>
      <c r="N2" s="43"/>
      <c r="O2" s="43"/>
      <c r="P2" s="43"/>
      <c r="Q2" s="43"/>
    </row>
    <row r="3" spans="7:17" s="15" customFormat="1" ht="20.25">
      <c r="G3" s="121"/>
      <c r="H3" s="121"/>
      <c r="I3" s="121"/>
      <c r="J3" s="121"/>
      <c r="K3" s="121"/>
      <c r="L3" s="121"/>
      <c r="M3" s="121"/>
      <c r="N3" s="43"/>
      <c r="O3" s="43"/>
      <c r="P3" s="43"/>
      <c r="Q3" s="43"/>
    </row>
    <row r="4" spans="2:20" ht="18">
      <c r="B4" s="1188" t="s">
        <v>857</v>
      </c>
      <c r="C4" s="1188"/>
      <c r="D4" s="1188"/>
      <c r="E4" s="1188"/>
      <c r="F4" s="1188"/>
      <c r="G4" s="1188"/>
      <c r="H4" s="1188"/>
      <c r="I4" s="1188"/>
      <c r="J4" s="1188"/>
      <c r="K4" s="1188"/>
      <c r="L4" s="1188"/>
      <c r="M4" s="1188"/>
      <c r="N4" s="1188"/>
      <c r="O4" s="1188"/>
      <c r="P4" s="1188"/>
      <c r="Q4" s="1188"/>
      <c r="R4" s="1188"/>
      <c r="S4" s="1188"/>
      <c r="T4" s="1188"/>
    </row>
    <row r="5" spans="3:20" ht="15.75">
      <c r="C5" s="76"/>
      <c r="D5" s="7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1:2" ht="15">
      <c r="A6" s="35" t="s">
        <v>634</v>
      </c>
      <c r="B6" s="35"/>
    </row>
    <row r="7" spans="2:17" ht="15">
      <c r="B7" s="78"/>
      <c r="Q7" s="113" t="s">
        <v>150</v>
      </c>
    </row>
    <row r="8" spans="1:19" s="79" customFormat="1" ht="32.25" customHeight="1">
      <c r="A8" s="871" t="s">
        <v>2</v>
      </c>
      <c r="B8" s="1189" t="s">
        <v>3</v>
      </c>
      <c r="C8" s="1194" t="s">
        <v>455</v>
      </c>
      <c r="D8" s="1194"/>
      <c r="E8" s="1194"/>
      <c r="F8" s="1194"/>
      <c r="G8" s="1194" t="s">
        <v>456</v>
      </c>
      <c r="H8" s="1194"/>
      <c r="I8" s="1194"/>
      <c r="J8" s="1194"/>
      <c r="K8" s="1194" t="s">
        <v>457</v>
      </c>
      <c r="L8" s="1194"/>
      <c r="M8" s="1194"/>
      <c r="N8" s="1194"/>
      <c r="O8" s="1194" t="s">
        <v>458</v>
      </c>
      <c r="P8" s="1194"/>
      <c r="Q8" s="1194"/>
      <c r="R8" s="1189"/>
      <c r="S8" s="1196" t="s">
        <v>175</v>
      </c>
    </row>
    <row r="9" spans="1:19" s="80" customFormat="1" ht="75" customHeight="1">
      <c r="A9" s="871"/>
      <c r="B9" s="1190"/>
      <c r="C9" s="85" t="s">
        <v>172</v>
      </c>
      <c r="D9" s="126" t="s">
        <v>174</v>
      </c>
      <c r="E9" s="85" t="s">
        <v>149</v>
      </c>
      <c r="F9" s="126" t="s">
        <v>173</v>
      </c>
      <c r="G9" s="85" t="s">
        <v>264</v>
      </c>
      <c r="H9" s="126" t="s">
        <v>174</v>
      </c>
      <c r="I9" s="85" t="s">
        <v>149</v>
      </c>
      <c r="J9" s="126" t="s">
        <v>173</v>
      </c>
      <c r="K9" s="85" t="s">
        <v>264</v>
      </c>
      <c r="L9" s="126" t="s">
        <v>174</v>
      </c>
      <c r="M9" s="85" t="s">
        <v>149</v>
      </c>
      <c r="N9" s="126" t="s">
        <v>173</v>
      </c>
      <c r="O9" s="85" t="s">
        <v>264</v>
      </c>
      <c r="P9" s="126" t="s">
        <v>174</v>
      </c>
      <c r="Q9" s="85" t="s">
        <v>149</v>
      </c>
      <c r="R9" s="127" t="s">
        <v>173</v>
      </c>
      <c r="S9" s="1196"/>
    </row>
    <row r="10" spans="1:19" s="80" customFormat="1" ht="15.75" customHeight="1">
      <c r="A10" s="5">
        <v>1</v>
      </c>
      <c r="B10" s="84">
        <v>2</v>
      </c>
      <c r="C10" s="74">
        <v>3</v>
      </c>
      <c r="D10" s="74">
        <v>4</v>
      </c>
      <c r="E10" s="74">
        <v>5</v>
      </c>
      <c r="F10" s="74">
        <v>6</v>
      </c>
      <c r="G10" s="74">
        <v>7</v>
      </c>
      <c r="H10" s="74">
        <v>8</v>
      </c>
      <c r="I10" s="74">
        <v>9</v>
      </c>
      <c r="J10" s="74">
        <v>10</v>
      </c>
      <c r="K10" s="74">
        <v>11</v>
      </c>
      <c r="L10" s="74">
        <v>12</v>
      </c>
      <c r="M10" s="74">
        <v>13</v>
      </c>
      <c r="N10" s="74">
        <v>14</v>
      </c>
      <c r="O10" s="74">
        <v>15</v>
      </c>
      <c r="P10" s="74">
        <v>16</v>
      </c>
      <c r="Q10" s="74">
        <v>17</v>
      </c>
      <c r="R10" s="118">
        <v>18</v>
      </c>
      <c r="S10" s="125">
        <v>19</v>
      </c>
    </row>
    <row r="11" spans="1:19" s="80" customFormat="1" ht="15.75" customHeight="1">
      <c r="A11" s="262">
        <v>1</v>
      </c>
      <c r="B11" s="195" t="s">
        <v>841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118"/>
      <c r="S11" s="125"/>
    </row>
    <row r="12" spans="1:19" s="80" customFormat="1" ht="15.75" customHeight="1">
      <c r="A12" s="260">
        <v>2</v>
      </c>
      <c r="B12" s="195" t="s">
        <v>833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118"/>
      <c r="S12" s="125"/>
    </row>
    <row r="13" spans="1:19" s="80" customFormat="1" ht="15.75" customHeight="1">
      <c r="A13" s="260">
        <v>3</v>
      </c>
      <c r="B13" s="195" t="s">
        <v>839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118"/>
      <c r="S13" s="125"/>
    </row>
    <row r="14" spans="1:19" s="80" customFormat="1" ht="15.75" customHeight="1">
      <c r="A14" s="260">
        <v>4</v>
      </c>
      <c r="B14" s="195" t="s">
        <v>743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118"/>
      <c r="S14" s="125"/>
    </row>
    <row r="15" spans="1:19" s="80" customFormat="1" ht="15.75" customHeight="1">
      <c r="A15" s="260">
        <v>5</v>
      </c>
      <c r="B15" s="195" t="s">
        <v>748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118"/>
      <c r="S15" s="125"/>
    </row>
    <row r="16" spans="1:19" s="80" customFormat="1" ht="15.75" customHeight="1">
      <c r="A16" s="260">
        <v>6</v>
      </c>
      <c r="B16" s="195" t="s">
        <v>747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118"/>
      <c r="S16" s="125"/>
    </row>
    <row r="17" spans="1:19" s="80" customFormat="1" ht="15.75" customHeight="1">
      <c r="A17" s="260">
        <v>7</v>
      </c>
      <c r="B17" s="195" t="s">
        <v>737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118"/>
      <c r="S17" s="125"/>
    </row>
    <row r="18" spans="1:19" s="80" customFormat="1" ht="15.75" customHeight="1">
      <c r="A18" s="260">
        <v>8</v>
      </c>
      <c r="B18" s="195" t="s">
        <v>749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118"/>
      <c r="S18" s="125"/>
    </row>
    <row r="19" spans="1:19" s="80" customFormat="1" ht="15.75" customHeight="1">
      <c r="A19" s="260">
        <v>9</v>
      </c>
      <c r="B19" s="195" t="s">
        <v>834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118"/>
      <c r="S19" s="125"/>
    </row>
    <row r="20" spans="1:19" s="80" customFormat="1" ht="15.75" customHeight="1">
      <c r="A20" s="260">
        <v>10</v>
      </c>
      <c r="B20" s="195" t="s">
        <v>739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118"/>
      <c r="S20" s="125"/>
    </row>
    <row r="21" spans="1:19" s="80" customFormat="1" ht="15.75" customHeight="1">
      <c r="A21" s="260">
        <v>11</v>
      </c>
      <c r="B21" s="195" t="s">
        <v>840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118"/>
      <c r="S21" s="125"/>
    </row>
    <row r="22" spans="1:19" s="80" customFormat="1" ht="15.75" customHeight="1">
      <c r="A22" s="260">
        <v>12</v>
      </c>
      <c r="B22" s="195" t="s">
        <v>837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118"/>
      <c r="S22" s="125"/>
    </row>
    <row r="23" spans="1:19" s="80" customFormat="1" ht="15.75" customHeight="1">
      <c r="A23" s="260">
        <v>13</v>
      </c>
      <c r="B23" s="195" t="s">
        <v>831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118"/>
      <c r="S23" s="125"/>
    </row>
    <row r="24" spans="1:19" s="80" customFormat="1" ht="15.75" customHeight="1">
      <c r="A24" s="260">
        <v>14</v>
      </c>
      <c r="B24" s="195" t="s">
        <v>740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118"/>
      <c r="S24" s="125"/>
    </row>
    <row r="25" spans="1:19" s="80" customFormat="1" ht="15.75" customHeight="1">
      <c r="A25" s="260">
        <v>15</v>
      </c>
      <c r="B25" s="195" t="s">
        <v>835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118"/>
      <c r="S25" s="125"/>
    </row>
    <row r="26" spans="1:19" s="80" customFormat="1" ht="15.75" customHeight="1">
      <c r="A26" s="260">
        <v>16</v>
      </c>
      <c r="B26" s="195" t="s">
        <v>832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118"/>
      <c r="S26" s="125"/>
    </row>
    <row r="27" spans="1:19" s="80" customFormat="1" ht="15.75" customHeight="1">
      <c r="A27" s="260">
        <v>17</v>
      </c>
      <c r="B27" s="195" t="s">
        <v>733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118"/>
      <c r="S27" s="125"/>
    </row>
    <row r="28" spans="1:19" s="80" customFormat="1" ht="15.75" customHeight="1">
      <c r="A28" s="260">
        <v>18</v>
      </c>
      <c r="B28" s="195" t="s">
        <v>735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118"/>
      <c r="S28" s="125"/>
    </row>
    <row r="29" spans="1:19" ht="15">
      <c r="A29" s="260">
        <v>19</v>
      </c>
      <c r="B29" s="195" t="s">
        <v>732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</row>
    <row r="30" spans="1:19" ht="15">
      <c r="A30" s="260">
        <v>20</v>
      </c>
      <c r="B30" s="195" t="s">
        <v>836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</row>
    <row r="31" spans="1:19" ht="15">
      <c r="A31" s="260">
        <v>21</v>
      </c>
      <c r="B31" s="195" t="s">
        <v>729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</row>
    <row r="32" spans="1:19" ht="15">
      <c r="A32" s="260">
        <v>22</v>
      </c>
      <c r="B32" s="195" t="s">
        <v>746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</row>
    <row r="33" spans="1:45" s="81" customFormat="1" ht="15">
      <c r="A33" s="260">
        <v>23</v>
      </c>
      <c r="B33" s="195" t="s">
        <v>738</v>
      </c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</row>
    <row r="34" spans="1:19" ht="15">
      <c r="A34" s="260">
        <v>24</v>
      </c>
      <c r="B34" s="195" t="s">
        <v>730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</row>
    <row r="35" spans="1:19" ht="15">
      <c r="A35" s="260">
        <v>25</v>
      </c>
      <c r="B35" s="195" t="s">
        <v>736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</row>
    <row r="36" spans="1:19" ht="15">
      <c r="A36" s="260">
        <v>26</v>
      </c>
      <c r="B36" s="195" t="s">
        <v>744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</row>
    <row r="37" spans="1:19" ht="15">
      <c r="A37" s="262">
        <v>27</v>
      </c>
      <c r="B37" s="195" t="s">
        <v>838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</row>
    <row r="38" spans="1:19" ht="15">
      <c r="A38" s="249" t="s">
        <v>19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</row>
    <row r="39" spans="1:19" ht="88.5" customHeight="1">
      <c r="A39" s="367" t="s">
        <v>492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</row>
    <row r="40" spans="1:19" s="15" customFormat="1" ht="12.75" customHeight="1">
      <c r="A40" s="14" t="s">
        <v>12</v>
      </c>
      <c r="G40" s="14"/>
      <c r="H40" s="14"/>
      <c r="K40" s="14"/>
      <c r="L40" s="14"/>
      <c r="M40" s="14"/>
      <c r="N40" s="14"/>
      <c r="O40" s="881" t="s">
        <v>13</v>
      </c>
      <c r="P40" s="881"/>
      <c r="Q40" s="83"/>
      <c r="R40" s="14"/>
      <c r="S40" s="83"/>
    </row>
    <row r="41" spans="10:19" s="15" customFormat="1" ht="12.75" customHeight="1">
      <c r="J41" s="14"/>
      <c r="K41" s="35"/>
      <c r="L41" s="35"/>
      <c r="M41" s="83"/>
      <c r="N41" s="881" t="s">
        <v>14</v>
      </c>
      <c r="O41" s="881"/>
      <c r="P41" s="881"/>
      <c r="Q41" s="881"/>
      <c r="R41" s="83"/>
      <c r="S41" s="35"/>
    </row>
    <row r="42" spans="10:19" s="15" customFormat="1" ht="12.75" customHeight="1">
      <c r="J42" s="35"/>
      <c r="K42" s="35"/>
      <c r="L42" s="35"/>
      <c r="M42" s="881" t="s">
        <v>637</v>
      </c>
      <c r="N42" s="881"/>
      <c r="O42" s="881"/>
      <c r="P42" s="881"/>
      <c r="Q42" s="881"/>
      <c r="R42" s="881"/>
      <c r="S42" s="35"/>
    </row>
    <row r="43" spans="1:19" s="15" customFormat="1" ht="12.75" customHeight="1">
      <c r="A43" s="14"/>
      <c r="B43" s="14"/>
      <c r="K43" s="14"/>
      <c r="L43" s="14"/>
      <c r="M43" s="14"/>
      <c r="N43" s="14"/>
      <c r="O43" s="1" t="s">
        <v>84</v>
      </c>
      <c r="P43" s="1"/>
      <c r="Q43" s="1"/>
      <c r="R43" s="1"/>
      <c r="S43" s="35"/>
    </row>
  </sheetData>
  <sheetProtection/>
  <mergeCells count="13">
    <mergeCell ref="M42:R42"/>
    <mergeCell ref="A8:A9"/>
    <mergeCell ref="B8:B9"/>
    <mergeCell ref="C8:F8"/>
    <mergeCell ref="G8:J8"/>
    <mergeCell ref="K8:N8"/>
    <mergeCell ref="Q1:R1"/>
    <mergeCell ref="B4:T4"/>
    <mergeCell ref="G2:M2"/>
    <mergeCell ref="O40:P40"/>
    <mergeCell ref="N41:Q41"/>
    <mergeCell ref="S8:S9"/>
    <mergeCell ref="O8:R8"/>
  </mergeCells>
  <printOptions horizontalCentered="1"/>
  <pageMargins left="0.7086614173228347" right="0.7086614173228347" top="0.73" bottom="0" header="0.97" footer="0.31496062992125984"/>
  <pageSetup fitToHeight="1" fitToWidth="1" horizontalDpi="600" verticalDpi="600" orientation="landscape" paperSize="9" scale="60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G45"/>
  <sheetViews>
    <sheetView view="pageBreakPreview" zoomScaleNormal="80" zoomScaleSheetLayoutView="100" zoomScalePageLayoutView="0" workbookViewId="0" topLeftCell="A19">
      <selection activeCell="E38" sqref="E38:G38"/>
    </sheetView>
  </sheetViews>
  <sheetFormatPr defaultColWidth="9.140625" defaultRowHeight="12.75"/>
  <cols>
    <col min="1" max="1" width="9.140625" style="611" customWidth="1"/>
    <col min="2" max="2" width="25.140625" style="611" customWidth="1"/>
    <col min="3" max="3" width="17.57421875" style="611" customWidth="1"/>
    <col min="4" max="4" width="19.7109375" style="611" customWidth="1"/>
    <col min="5" max="5" width="18.140625" style="611" customWidth="1"/>
    <col min="6" max="6" width="15.421875" style="611" customWidth="1"/>
    <col min="7" max="7" width="15.7109375" style="611" customWidth="1"/>
    <col min="8" max="8" width="12.28125" style="611" customWidth="1"/>
    <col min="9" max="9" width="11.7109375" style="611" customWidth="1"/>
    <col min="10" max="16384" width="9.140625" style="611" customWidth="1"/>
  </cols>
  <sheetData>
    <row r="1" spans="3:7" s="15" customFormat="1" ht="15">
      <c r="C1" s="44"/>
      <c r="D1" s="44"/>
      <c r="E1" s="44"/>
      <c r="F1" s="1000" t="s">
        <v>914</v>
      </c>
      <c r="G1" s="1000"/>
    </row>
    <row r="2" spans="2:9" s="15" customFormat="1" ht="30.75" customHeight="1">
      <c r="B2" s="902" t="s">
        <v>859</v>
      </c>
      <c r="C2" s="902"/>
      <c r="D2" s="902"/>
      <c r="E2" s="902"/>
      <c r="F2" s="902"/>
      <c r="G2" s="43"/>
      <c r="H2" s="43"/>
      <c r="I2" s="43"/>
    </row>
    <row r="3" s="15" customFormat="1" ht="20.25">
      <c r="G3" s="121"/>
    </row>
    <row r="4" spans="2:8" ht="18">
      <c r="B4" s="1201" t="s">
        <v>915</v>
      </c>
      <c r="C4" s="1201"/>
      <c r="D4" s="1201"/>
      <c r="E4" s="1201"/>
      <c r="F4" s="1201"/>
      <c r="G4" s="1201"/>
      <c r="H4" s="1201"/>
    </row>
    <row r="5" spans="3:8" ht="15.75">
      <c r="C5" s="612"/>
      <c r="D5" s="613"/>
      <c r="E5" s="612"/>
      <c r="F5" s="612"/>
      <c r="G5" s="612"/>
      <c r="H5" s="612"/>
    </row>
    <row r="6" spans="1:2" ht="15">
      <c r="A6" s="614" t="s">
        <v>916</v>
      </c>
      <c r="B6" s="818" t="s">
        <v>1024</v>
      </c>
    </row>
    <row r="7" ht="15">
      <c r="B7" s="615"/>
    </row>
    <row r="8" spans="1:7" s="616" customFormat="1" ht="30.75" customHeight="1">
      <c r="A8" s="1197" t="s">
        <v>2</v>
      </c>
      <c r="B8" s="1198" t="s">
        <v>3</v>
      </c>
      <c r="C8" s="1198" t="s">
        <v>917</v>
      </c>
      <c r="D8" s="1199" t="s">
        <v>918</v>
      </c>
      <c r="E8" s="1198" t="s">
        <v>919</v>
      </c>
      <c r="F8" s="1198"/>
      <c r="G8" s="1198"/>
    </row>
    <row r="9" spans="1:9" s="616" customFormat="1" ht="48.75" customHeight="1">
      <c r="A9" s="1197"/>
      <c r="B9" s="1198"/>
      <c r="C9" s="1198"/>
      <c r="D9" s="1200"/>
      <c r="E9" s="617" t="s">
        <v>920</v>
      </c>
      <c r="F9" s="617" t="s">
        <v>921</v>
      </c>
      <c r="G9" s="617" t="s">
        <v>19</v>
      </c>
      <c r="I9" s="616">
        <v>11586</v>
      </c>
    </row>
    <row r="10" spans="1:7" s="616" customFormat="1" ht="15.75" customHeight="1">
      <c r="A10" s="67">
        <v>1</v>
      </c>
      <c r="B10" s="618">
        <v>2</v>
      </c>
      <c r="C10" s="618">
        <v>3</v>
      </c>
      <c r="D10" s="618">
        <v>4</v>
      </c>
      <c r="E10" s="619">
        <v>5</v>
      </c>
      <c r="F10" s="619">
        <v>6</v>
      </c>
      <c r="G10" s="619">
        <v>7</v>
      </c>
    </row>
    <row r="11" spans="1:7" s="616" customFormat="1" ht="15.75" customHeight="1">
      <c r="A11" s="262">
        <v>1</v>
      </c>
      <c r="B11" s="195" t="s">
        <v>841</v>
      </c>
      <c r="C11" s="704">
        <v>512</v>
      </c>
      <c r="D11" s="705">
        <v>482</v>
      </c>
      <c r="E11" s="708">
        <f>D11*6000/100000</f>
        <v>28.92</v>
      </c>
      <c r="F11" s="708">
        <f>D11*4000/100000</f>
        <v>19.28</v>
      </c>
      <c r="G11" s="708">
        <f>SUM(E11:F11)</f>
        <v>48.2</v>
      </c>
    </row>
    <row r="12" spans="1:7" s="616" customFormat="1" ht="15.75" customHeight="1">
      <c r="A12" s="260">
        <v>2</v>
      </c>
      <c r="B12" s="195" t="s">
        <v>833</v>
      </c>
      <c r="C12" s="704">
        <v>524</v>
      </c>
      <c r="D12" s="705">
        <v>151</v>
      </c>
      <c r="E12" s="708">
        <f aca="true" t="shared" si="0" ref="E12:E37">D12*6000/100000</f>
        <v>9.06</v>
      </c>
      <c r="F12" s="708">
        <f aca="true" t="shared" si="1" ref="F12:F37">D12*4000/100000</f>
        <v>6.04</v>
      </c>
      <c r="G12" s="708">
        <f aca="true" t="shared" si="2" ref="G12:G37">SUM(E12:F12)</f>
        <v>15.100000000000001</v>
      </c>
    </row>
    <row r="13" spans="1:7" s="616" customFormat="1" ht="15.75" customHeight="1">
      <c r="A13" s="260">
        <v>3</v>
      </c>
      <c r="B13" s="195" t="s">
        <v>839</v>
      </c>
      <c r="C13" s="704">
        <v>509</v>
      </c>
      <c r="D13" s="705">
        <v>88</v>
      </c>
      <c r="E13" s="708">
        <f t="shared" si="0"/>
        <v>5.28</v>
      </c>
      <c r="F13" s="708">
        <f t="shared" si="1"/>
        <v>3.52</v>
      </c>
      <c r="G13" s="708">
        <f t="shared" si="2"/>
        <v>8.8</v>
      </c>
    </row>
    <row r="14" spans="1:7" s="616" customFormat="1" ht="15.75" customHeight="1">
      <c r="A14" s="260">
        <v>4</v>
      </c>
      <c r="B14" s="195" t="s">
        <v>743</v>
      </c>
      <c r="C14" s="704">
        <v>649</v>
      </c>
      <c r="D14" s="705">
        <v>586</v>
      </c>
      <c r="E14" s="708">
        <f t="shared" si="0"/>
        <v>35.16</v>
      </c>
      <c r="F14" s="708">
        <f t="shared" si="1"/>
        <v>23.44</v>
      </c>
      <c r="G14" s="708">
        <f t="shared" si="2"/>
        <v>58.599999999999994</v>
      </c>
    </row>
    <row r="15" spans="1:7" s="616" customFormat="1" ht="15.75" customHeight="1">
      <c r="A15" s="260">
        <v>5</v>
      </c>
      <c r="B15" s="195" t="s">
        <v>748</v>
      </c>
      <c r="C15" s="704">
        <v>774</v>
      </c>
      <c r="D15" s="705">
        <v>385</v>
      </c>
      <c r="E15" s="708">
        <f t="shared" si="0"/>
        <v>23.1</v>
      </c>
      <c r="F15" s="708">
        <f t="shared" si="1"/>
        <v>15.4</v>
      </c>
      <c r="G15" s="708">
        <f t="shared" si="2"/>
        <v>38.5</v>
      </c>
    </row>
    <row r="16" spans="1:7" s="616" customFormat="1" ht="15.75" customHeight="1">
      <c r="A16" s="260">
        <v>6</v>
      </c>
      <c r="B16" s="195" t="s">
        <v>747</v>
      </c>
      <c r="C16" s="704">
        <v>691</v>
      </c>
      <c r="D16" s="705">
        <v>181</v>
      </c>
      <c r="E16" s="708">
        <f t="shared" si="0"/>
        <v>10.86</v>
      </c>
      <c r="F16" s="708">
        <f t="shared" si="1"/>
        <v>7.24</v>
      </c>
      <c r="G16" s="708">
        <f t="shared" si="2"/>
        <v>18.1</v>
      </c>
    </row>
    <row r="17" spans="1:7" s="616" customFormat="1" ht="15.75" customHeight="1">
      <c r="A17" s="260">
        <v>7</v>
      </c>
      <c r="B17" s="195" t="s">
        <v>737</v>
      </c>
      <c r="C17" s="704">
        <v>261</v>
      </c>
      <c r="D17" s="705">
        <v>58</v>
      </c>
      <c r="E17" s="708">
        <f t="shared" si="0"/>
        <v>3.48</v>
      </c>
      <c r="F17" s="708">
        <f t="shared" si="1"/>
        <v>2.32</v>
      </c>
      <c r="G17" s="708">
        <f t="shared" si="2"/>
        <v>5.8</v>
      </c>
    </row>
    <row r="18" spans="1:7" s="616" customFormat="1" ht="15.75" customHeight="1">
      <c r="A18" s="260">
        <v>8</v>
      </c>
      <c r="B18" s="195" t="s">
        <v>749</v>
      </c>
      <c r="C18" s="704">
        <v>331</v>
      </c>
      <c r="D18" s="705">
        <v>102</v>
      </c>
      <c r="E18" s="708">
        <f t="shared" si="0"/>
        <v>6.12</v>
      </c>
      <c r="F18" s="708">
        <f t="shared" si="1"/>
        <v>4.08</v>
      </c>
      <c r="G18" s="708">
        <f t="shared" si="2"/>
        <v>10.2</v>
      </c>
    </row>
    <row r="19" spans="1:7" s="616" customFormat="1" ht="15.75" customHeight="1">
      <c r="A19" s="260">
        <v>9</v>
      </c>
      <c r="B19" s="195" t="s">
        <v>834</v>
      </c>
      <c r="C19" s="704">
        <v>570</v>
      </c>
      <c r="D19" s="705">
        <v>368</v>
      </c>
      <c r="E19" s="708">
        <f t="shared" si="0"/>
        <v>22.08</v>
      </c>
      <c r="F19" s="708">
        <f t="shared" si="1"/>
        <v>14.72</v>
      </c>
      <c r="G19" s="708">
        <f t="shared" si="2"/>
        <v>36.8</v>
      </c>
    </row>
    <row r="20" spans="1:7" s="616" customFormat="1" ht="15.75" customHeight="1">
      <c r="A20" s="260">
        <v>10</v>
      </c>
      <c r="B20" s="195" t="s">
        <v>739</v>
      </c>
      <c r="C20" s="704">
        <v>125</v>
      </c>
      <c r="D20" s="705">
        <v>9</v>
      </c>
      <c r="E20" s="708">
        <f t="shared" si="0"/>
        <v>0.54</v>
      </c>
      <c r="F20" s="708">
        <f t="shared" si="1"/>
        <v>0.36</v>
      </c>
      <c r="G20" s="708">
        <f t="shared" si="2"/>
        <v>0.9</v>
      </c>
    </row>
    <row r="21" spans="1:7" s="616" customFormat="1" ht="15.75" customHeight="1">
      <c r="A21" s="260">
        <v>11</v>
      </c>
      <c r="B21" s="195" t="s">
        <v>840</v>
      </c>
      <c r="C21" s="704">
        <v>176</v>
      </c>
      <c r="D21" s="705">
        <v>171</v>
      </c>
      <c r="E21" s="708">
        <f t="shared" si="0"/>
        <v>10.26</v>
      </c>
      <c r="F21" s="708">
        <f t="shared" si="1"/>
        <v>6.84</v>
      </c>
      <c r="G21" s="708">
        <f t="shared" si="2"/>
        <v>17.1</v>
      </c>
    </row>
    <row r="22" spans="1:7" s="616" customFormat="1" ht="15.75" customHeight="1">
      <c r="A22" s="260">
        <v>12</v>
      </c>
      <c r="B22" s="195" t="s">
        <v>837</v>
      </c>
      <c r="C22" s="704">
        <v>503</v>
      </c>
      <c r="D22" s="705">
        <v>76</v>
      </c>
      <c r="E22" s="708">
        <f t="shared" si="0"/>
        <v>4.56</v>
      </c>
      <c r="F22" s="708">
        <f t="shared" si="1"/>
        <v>3.04</v>
      </c>
      <c r="G22" s="708">
        <f t="shared" si="2"/>
        <v>7.6</v>
      </c>
    </row>
    <row r="23" spans="1:7" s="616" customFormat="1" ht="15.75" customHeight="1">
      <c r="A23" s="260">
        <v>13</v>
      </c>
      <c r="B23" s="195" t="s">
        <v>831</v>
      </c>
      <c r="C23" s="704">
        <v>341</v>
      </c>
      <c r="D23" s="705">
        <v>89</v>
      </c>
      <c r="E23" s="708">
        <f t="shared" si="0"/>
        <v>5.34</v>
      </c>
      <c r="F23" s="708">
        <f t="shared" si="1"/>
        <v>3.56</v>
      </c>
      <c r="G23" s="708">
        <f t="shared" si="2"/>
        <v>8.9</v>
      </c>
    </row>
    <row r="24" spans="1:7" s="616" customFormat="1" ht="15.75" customHeight="1">
      <c r="A24" s="260">
        <v>14</v>
      </c>
      <c r="B24" s="195" t="s">
        <v>740</v>
      </c>
      <c r="C24" s="704">
        <v>289</v>
      </c>
      <c r="D24" s="705">
        <v>173</v>
      </c>
      <c r="E24" s="708">
        <f t="shared" si="0"/>
        <v>10.38</v>
      </c>
      <c r="F24" s="708">
        <f t="shared" si="1"/>
        <v>6.92</v>
      </c>
      <c r="G24" s="708">
        <f t="shared" si="2"/>
        <v>17.3</v>
      </c>
    </row>
    <row r="25" spans="1:7" s="616" customFormat="1" ht="15.75" customHeight="1">
      <c r="A25" s="260">
        <v>15</v>
      </c>
      <c r="B25" s="195" t="s">
        <v>835</v>
      </c>
      <c r="C25" s="704">
        <v>383</v>
      </c>
      <c r="D25" s="705">
        <v>53</v>
      </c>
      <c r="E25" s="708">
        <f t="shared" si="0"/>
        <v>3.18</v>
      </c>
      <c r="F25" s="708">
        <f t="shared" si="1"/>
        <v>2.12</v>
      </c>
      <c r="G25" s="708">
        <f t="shared" si="2"/>
        <v>5.300000000000001</v>
      </c>
    </row>
    <row r="26" spans="1:7" s="616" customFormat="1" ht="15.75" customHeight="1">
      <c r="A26" s="260">
        <v>16</v>
      </c>
      <c r="B26" s="195" t="s">
        <v>832</v>
      </c>
      <c r="C26" s="704">
        <v>468</v>
      </c>
      <c r="D26" s="705">
        <v>245</v>
      </c>
      <c r="E26" s="708">
        <f t="shared" si="0"/>
        <v>14.7</v>
      </c>
      <c r="F26" s="708">
        <f t="shared" si="1"/>
        <v>9.8</v>
      </c>
      <c r="G26" s="708">
        <f t="shared" si="2"/>
        <v>24.5</v>
      </c>
    </row>
    <row r="27" spans="1:7" s="616" customFormat="1" ht="15.75" customHeight="1">
      <c r="A27" s="260">
        <v>17</v>
      </c>
      <c r="B27" s="195" t="s">
        <v>733</v>
      </c>
      <c r="C27" s="704">
        <v>366</v>
      </c>
      <c r="D27" s="705">
        <v>84</v>
      </c>
      <c r="E27" s="708">
        <f t="shared" si="0"/>
        <v>5.04</v>
      </c>
      <c r="F27" s="708">
        <f t="shared" si="1"/>
        <v>3.36</v>
      </c>
      <c r="G27" s="708">
        <f t="shared" si="2"/>
        <v>8.4</v>
      </c>
    </row>
    <row r="28" spans="1:7" s="616" customFormat="1" ht="15.75" customHeight="1">
      <c r="A28" s="260">
        <v>18</v>
      </c>
      <c r="B28" s="195" t="s">
        <v>735</v>
      </c>
      <c r="C28" s="704">
        <v>592</v>
      </c>
      <c r="D28" s="705">
        <v>234</v>
      </c>
      <c r="E28" s="708">
        <f t="shared" si="0"/>
        <v>14.04</v>
      </c>
      <c r="F28" s="708">
        <f t="shared" si="1"/>
        <v>9.36</v>
      </c>
      <c r="G28" s="708">
        <f t="shared" si="2"/>
        <v>23.4</v>
      </c>
    </row>
    <row r="29" spans="1:7" s="616" customFormat="1" ht="15.75" customHeight="1">
      <c r="A29" s="260">
        <v>19</v>
      </c>
      <c r="B29" s="195" t="s">
        <v>732</v>
      </c>
      <c r="C29" s="704">
        <v>552</v>
      </c>
      <c r="D29" s="705">
        <v>208</v>
      </c>
      <c r="E29" s="708">
        <f t="shared" si="0"/>
        <v>12.48</v>
      </c>
      <c r="F29" s="708">
        <f t="shared" si="1"/>
        <v>8.32</v>
      </c>
      <c r="G29" s="708">
        <f t="shared" si="2"/>
        <v>20.8</v>
      </c>
    </row>
    <row r="30" spans="1:9" ht="15.75">
      <c r="A30" s="260">
        <v>20</v>
      </c>
      <c r="B30" s="195" t="s">
        <v>836</v>
      </c>
      <c r="C30" s="706">
        <v>607</v>
      </c>
      <c r="D30" s="707">
        <v>209</v>
      </c>
      <c r="E30" s="708">
        <f t="shared" si="0"/>
        <v>12.54</v>
      </c>
      <c r="F30" s="708">
        <f t="shared" si="1"/>
        <v>8.36</v>
      </c>
      <c r="G30" s="708">
        <f t="shared" si="2"/>
        <v>20.9</v>
      </c>
      <c r="H30" s="616"/>
      <c r="I30" s="616"/>
    </row>
    <row r="31" spans="1:9" ht="15.75">
      <c r="A31" s="260">
        <v>21</v>
      </c>
      <c r="B31" s="195" t="s">
        <v>729</v>
      </c>
      <c r="C31" s="706">
        <v>395</v>
      </c>
      <c r="D31" s="707">
        <v>97</v>
      </c>
      <c r="E31" s="708">
        <f t="shared" si="0"/>
        <v>5.82</v>
      </c>
      <c r="F31" s="708">
        <f t="shared" si="1"/>
        <v>3.88</v>
      </c>
      <c r="G31" s="708">
        <f t="shared" si="2"/>
        <v>9.7</v>
      </c>
      <c r="H31" s="616"/>
      <c r="I31" s="616"/>
    </row>
    <row r="32" spans="1:9" ht="15.75">
      <c r="A32" s="260">
        <v>22</v>
      </c>
      <c r="B32" s="195" t="s">
        <v>746</v>
      </c>
      <c r="C32" s="706">
        <v>463</v>
      </c>
      <c r="D32" s="707">
        <v>20</v>
      </c>
      <c r="E32" s="708">
        <f t="shared" si="0"/>
        <v>1.2</v>
      </c>
      <c r="F32" s="708">
        <f t="shared" si="1"/>
        <v>0.8</v>
      </c>
      <c r="G32" s="708">
        <f t="shared" si="2"/>
        <v>2</v>
      </c>
      <c r="H32" s="616"/>
      <c r="I32" s="616"/>
    </row>
    <row r="33" spans="1:9" ht="15.75">
      <c r="A33" s="260">
        <v>23</v>
      </c>
      <c r="B33" s="195" t="s">
        <v>738</v>
      </c>
      <c r="C33" s="706">
        <v>361</v>
      </c>
      <c r="D33" s="707">
        <v>140</v>
      </c>
      <c r="E33" s="708">
        <f t="shared" si="0"/>
        <v>8.4</v>
      </c>
      <c r="F33" s="708">
        <f t="shared" si="1"/>
        <v>5.6</v>
      </c>
      <c r="G33" s="708">
        <f t="shared" si="2"/>
        <v>14</v>
      </c>
      <c r="H33" s="616"/>
      <c r="I33" s="616"/>
    </row>
    <row r="34" spans="1:33" s="621" customFormat="1" ht="15.75">
      <c r="A34" s="260">
        <v>24</v>
      </c>
      <c r="B34" s="195" t="s">
        <v>730</v>
      </c>
      <c r="C34" s="706">
        <v>490</v>
      </c>
      <c r="D34" s="707">
        <v>119</v>
      </c>
      <c r="E34" s="708">
        <f t="shared" si="0"/>
        <v>7.14</v>
      </c>
      <c r="F34" s="708">
        <f t="shared" si="1"/>
        <v>4.76</v>
      </c>
      <c r="G34" s="708">
        <f t="shared" si="2"/>
        <v>11.899999999999999</v>
      </c>
      <c r="H34" s="616"/>
      <c r="I34" s="616"/>
      <c r="J34" s="622"/>
      <c r="K34" s="622"/>
      <c r="L34" s="622"/>
      <c r="M34" s="622"/>
      <c r="N34" s="622"/>
      <c r="O34" s="622"/>
      <c r="P34" s="622"/>
      <c r="Q34" s="622"/>
      <c r="R34" s="622"/>
      <c r="S34" s="622"/>
      <c r="T34" s="622"/>
      <c r="U34" s="622"/>
      <c r="V34" s="622"/>
      <c r="W34" s="622"/>
      <c r="X34" s="622"/>
      <c r="Y34" s="622"/>
      <c r="Z34" s="622"/>
      <c r="AA34" s="622"/>
      <c r="AB34" s="622"/>
      <c r="AC34" s="622"/>
      <c r="AD34" s="622"/>
      <c r="AE34" s="622"/>
      <c r="AF34" s="622"/>
      <c r="AG34" s="622"/>
    </row>
    <row r="35" spans="1:9" ht="15.75">
      <c r="A35" s="260">
        <v>25</v>
      </c>
      <c r="B35" s="195" t="s">
        <v>736</v>
      </c>
      <c r="C35" s="706">
        <v>242</v>
      </c>
      <c r="D35" s="707">
        <v>96</v>
      </c>
      <c r="E35" s="708">
        <f t="shared" si="0"/>
        <v>5.76</v>
      </c>
      <c r="F35" s="708">
        <f t="shared" si="1"/>
        <v>3.84</v>
      </c>
      <c r="G35" s="708">
        <f t="shared" si="2"/>
        <v>9.6</v>
      </c>
      <c r="H35" s="616"/>
      <c r="I35" s="616"/>
    </row>
    <row r="36" spans="1:9" ht="15.75">
      <c r="A36" s="260">
        <v>26</v>
      </c>
      <c r="B36" s="195" t="s">
        <v>744</v>
      </c>
      <c r="C36" s="706">
        <v>162</v>
      </c>
      <c r="D36" s="707">
        <v>51</v>
      </c>
      <c r="E36" s="708">
        <f t="shared" si="0"/>
        <v>3.06</v>
      </c>
      <c r="F36" s="708">
        <f t="shared" si="1"/>
        <v>2.04</v>
      </c>
      <c r="G36" s="708">
        <f t="shared" si="2"/>
        <v>5.1</v>
      </c>
      <c r="H36" s="616"/>
      <c r="I36" s="616"/>
    </row>
    <row r="37" spans="1:9" ht="15.75">
      <c r="A37" s="262">
        <v>27</v>
      </c>
      <c r="B37" s="195" t="s">
        <v>838</v>
      </c>
      <c r="C37" s="706">
        <v>252</v>
      </c>
      <c r="D37" s="707">
        <v>197</v>
      </c>
      <c r="E37" s="708">
        <f t="shared" si="0"/>
        <v>11.82</v>
      </c>
      <c r="F37" s="708">
        <f t="shared" si="1"/>
        <v>7.88</v>
      </c>
      <c r="G37" s="708">
        <f t="shared" si="2"/>
        <v>19.7</v>
      </c>
      <c r="H37" s="616"/>
      <c r="I37" s="616"/>
    </row>
    <row r="38" spans="1:8" ht="15">
      <c r="A38" s="623" t="s">
        <v>19</v>
      </c>
      <c r="B38" s="621"/>
      <c r="C38" s="709">
        <f>SUM(C11:C37)</f>
        <v>11588</v>
      </c>
      <c r="D38" s="709">
        <f>SUM(D11:D37)</f>
        <v>4672</v>
      </c>
      <c r="E38" s="709">
        <f>SUM(E11:E37)</f>
        <v>280.31999999999994</v>
      </c>
      <c r="F38" s="709">
        <f>SUM(F11:F37)</f>
        <v>186.88000000000002</v>
      </c>
      <c r="G38" s="817">
        <f>SUM(G11:G37)</f>
        <v>467.19999999999993</v>
      </c>
      <c r="H38" s="616"/>
    </row>
    <row r="39" spans="1:7" ht="15">
      <c r="A39" s="624"/>
      <c r="B39" s="622"/>
      <c r="C39" s="622"/>
      <c r="D39" s="622"/>
      <c r="E39" s="622"/>
      <c r="F39" s="622"/>
      <c r="G39" s="622"/>
    </row>
    <row r="40" spans="1:7" s="15" customFormat="1" ht="12.75" customHeight="1">
      <c r="A40" s="14" t="s">
        <v>12</v>
      </c>
      <c r="G40" s="14"/>
    </row>
    <row r="41" spans="1:2" s="15" customFormat="1" ht="12.75">
      <c r="A41" s="14"/>
      <c r="B41" s="14"/>
    </row>
    <row r="42" spans="6:7" ht="15">
      <c r="F42" s="83" t="s">
        <v>13</v>
      </c>
      <c r="G42" s="83"/>
    </row>
    <row r="43" spans="1:10" ht="15">
      <c r="A43" s="14"/>
      <c r="C43" s="35"/>
      <c r="D43" s="35"/>
      <c r="E43" s="853" t="s">
        <v>14</v>
      </c>
      <c r="F43" s="853"/>
      <c r="G43" s="853"/>
      <c r="H43" s="35"/>
      <c r="I43" s="35"/>
      <c r="J43" s="35"/>
    </row>
    <row r="44" spans="2:10" ht="15">
      <c r="B44" s="35"/>
      <c r="C44" s="35"/>
      <c r="D44" s="35"/>
      <c r="E44" s="853" t="s">
        <v>662</v>
      </c>
      <c r="F44" s="853"/>
      <c r="G44" s="853"/>
      <c r="H44" s="35"/>
      <c r="I44" s="35"/>
      <c r="J44" s="35"/>
    </row>
    <row r="45" spans="1:7" ht="15">
      <c r="A45" s="15"/>
      <c r="B45" s="14"/>
      <c r="C45" s="14"/>
      <c r="D45" s="14"/>
      <c r="E45" s="35" t="s">
        <v>84</v>
      </c>
      <c r="F45" s="35"/>
      <c r="G45" s="35"/>
    </row>
  </sheetData>
  <sheetProtection/>
  <mergeCells count="10">
    <mergeCell ref="E43:G43"/>
    <mergeCell ref="E44:G44"/>
    <mergeCell ref="A8:A9"/>
    <mergeCell ref="B8:B9"/>
    <mergeCell ref="C8:C9"/>
    <mergeCell ref="D8:D9"/>
    <mergeCell ref="E8:G8"/>
    <mergeCell ref="F1:G1"/>
    <mergeCell ref="B2:F2"/>
    <mergeCell ref="B4:H4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V33"/>
  <sheetViews>
    <sheetView view="pageBreakPreview" zoomScale="90" zoomScaleNormal="90" zoomScaleSheetLayoutView="90" zoomScalePageLayoutView="0" workbookViewId="0" topLeftCell="A1">
      <selection activeCell="S18" sqref="S18"/>
    </sheetView>
  </sheetViews>
  <sheetFormatPr defaultColWidth="9.140625" defaultRowHeight="12.75"/>
  <cols>
    <col min="1" max="1" width="9.140625" style="819" customWidth="1"/>
    <col min="2" max="2" width="11.28125" style="819" customWidth="1"/>
    <col min="3" max="3" width="9.7109375" style="819" customWidth="1"/>
    <col min="4" max="4" width="8.140625" style="819" customWidth="1"/>
    <col min="5" max="5" width="7.421875" style="819" customWidth="1"/>
    <col min="6" max="6" width="9.140625" style="819" customWidth="1"/>
    <col min="7" max="7" width="9.57421875" style="819" customWidth="1"/>
    <col min="8" max="8" width="8.140625" style="819" customWidth="1"/>
    <col min="9" max="9" width="6.8515625" style="819" customWidth="1"/>
    <col min="10" max="10" width="9.28125" style="819" customWidth="1"/>
    <col min="11" max="11" width="10.57421875" style="819" customWidth="1"/>
    <col min="12" max="12" width="8.7109375" style="819" customWidth="1"/>
    <col min="13" max="13" width="7.421875" style="819" customWidth="1"/>
    <col min="14" max="14" width="8.57421875" style="819" customWidth="1"/>
    <col min="15" max="15" width="8.7109375" style="819" customWidth="1"/>
    <col min="16" max="16" width="8.57421875" style="819" customWidth="1"/>
    <col min="17" max="17" width="7.8515625" style="819" customWidth="1"/>
    <col min="18" max="18" width="8.57421875" style="819" customWidth="1"/>
    <col min="19" max="20" width="10.57421875" style="819" customWidth="1"/>
    <col min="21" max="21" width="11.140625" style="819" customWidth="1"/>
    <col min="22" max="22" width="10.7109375" style="819" bestFit="1" customWidth="1"/>
    <col min="23" max="16384" width="9.140625" style="819" customWidth="1"/>
  </cols>
  <sheetData>
    <row r="1" spans="3:24" s="15" customFormat="1" ht="15.75">
      <c r="C1" s="44"/>
      <c r="D1" s="44"/>
      <c r="E1" s="44"/>
      <c r="F1" s="44"/>
      <c r="G1" s="44"/>
      <c r="H1" s="44"/>
      <c r="I1" s="106" t="s">
        <v>0</v>
      </c>
      <c r="J1" s="106"/>
      <c r="S1" s="40"/>
      <c r="T1" s="40"/>
      <c r="U1" s="967" t="s">
        <v>773</v>
      </c>
      <c r="V1" s="967"/>
      <c r="W1" s="42"/>
      <c r="X1" s="42"/>
    </row>
    <row r="2" spans="5:16" s="15" customFormat="1" ht="20.25">
      <c r="E2" s="902" t="s">
        <v>859</v>
      </c>
      <c r="F2" s="902"/>
      <c r="G2" s="902"/>
      <c r="H2" s="902"/>
      <c r="I2" s="902"/>
      <c r="J2" s="902"/>
      <c r="K2" s="902"/>
      <c r="L2" s="902"/>
      <c r="M2" s="902"/>
      <c r="N2" s="902"/>
      <c r="O2" s="902"/>
      <c r="P2" s="902"/>
    </row>
    <row r="3" spans="8:16" s="15" customFormat="1" ht="20.25">
      <c r="H3" s="43"/>
      <c r="I3" s="43"/>
      <c r="J3" s="43"/>
      <c r="K3" s="43"/>
      <c r="L3" s="43"/>
      <c r="M3" s="43"/>
      <c r="N3" s="43"/>
      <c r="O3" s="43"/>
      <c r="P3" s="43"/>
    </row>
    <row r="4" spans="3:23" ht="15.75">
      <c r="C4" s="903" t="s">
        <v>1061</v>
      </c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46"/>
      <c r="S4" s="111"/>
      <c r="T4" s="111"/>
      <c r="U4" s="111"/>
      <c r="V4" s="111"/>
      <c r="W4" s="106"/>
    </row>
    <row r="5" spans="3:23" ht="15">
      <c r="C5" s="820"/>
      <c r="D5" s="820"/>
      <c r="E5" s="820"/>
      <c r="F5" s="820"/>
      <c r="G5" s="820"/>
      <c r="H5" s="820"/>
      <c r="M5" s="820"/>
      <c r="N5" s="820"/>
      <c r="O5" s="820"/>
      <c r="P5" s="820"/>
      <c r="Q5" s="820"/>
      <c r="R5" s="820"/>
      <c r="S5" s="820"/>
      <c r="T5" s="820"/>
      <c r="U5" s="820"/>
      <c r="V5" s="820"/>
      <c r="W5" s="820"/>
    </row>
    <row r="6" spans="1:2" ht="15">
      <c r="A6" s="821" t="s">
        <v>176</v>
      </c>
      <c r="B6" s="822"/>
    </row>
    <row r="7" ht="15">
      <c r="B7" s="823"/>
    </row>
    <row r="8" spans="1:22" s="821" customFormat="1" ht="24.75" customHeight="1">
      <c r="A8" s="871" t="s">
        <v>2</v>
      </c>
      <c r="B8" s="1202" t="s">
        <v>3</v>
      </c>
      <c r="C8" s="1203" t="s">
        <v>924</v>
      </c>
      <c r="D8" s="1204"/>
      <c r="E8" s="1204"/>
      <c r="F8" s="1204"/>
      <c r="G8" s="1203" t="s">
        <v>925</v>
      </c>
      <c r="H8" s="1204"/>
      <c r="I8" s="1204"/>
      <c r="J8" s="1204"/>
      <c r="K8" s="1203" t="s">
        <v>926</v>
      </c>
      <c r="L8" s="1204"/>
      <c r="M8" s="1204"/>
      <c r="N8" s="1204"/>
      <c r="O8" s="1203" t="s">
        <v>927</v>
      </c>
      <c r="P8" s="1204"/>
      <c r="Q8" s="1204"/>
      <c r="R8" s="1204"/>
      <c r="S8" s="1205" t="s">
        <v>19</v>
      </c>
      <c r="T8" s="1206"/>
      <c r="U8" s="1206"/>
      <c r="V8" s="1206"/>
    </row>
    <row r="9" spans="1:22" s="824" customFormat="1" ht="29.25" customHeight="1">
      <c r="A9" s="871"/>
      <c r="B9" s="1202"/>
      <c r="C9" s="1207" t="s">
        <v>928</v>
      </c>
      <c r="D9" s="1209" t="s">
        <v>929</v>
      </c>
      <c r="E9" s="1210"/>
      <c r="F9" s="1211"/>
      <c r="G9" s="1207" t="s">
        <v>928</v>
      </c>
      <c r="H9" s="1209" t="s">
        <v>929</v>
      </c>
      <c r="I9" s="1210"/>
      <c r="J9" s="1211"/>
      <c r="K9" s="1207" t="s">
        <v>928</v>
      </c>
      <c r="L9" s="1209" t="s">
        <v>929</v>
      </c>
      <c r="M9" s="1210"/>
      <c r="N9" s="1211"/>
      <c r="O9" s="1207" t="s">
        <v>928</v>
      </c>
      <c r="P9" s="1209" t="s">
        <v>929</v>
      </c>
      <c r="Q9" s="1210"/>
      <c r="R9" s="1211"/>
      <c r="S9" s="1207" t="s">
        <v>928</v>
      </c>
      <c r="T9" s="1209" t="s">
        <v>929</v>
      </c>
      <c r="U9" s="1210"/>
      <c r="V9" s="1211"/>
    </row>
    <row r="10" spans="1:22" s="824" customFormat="1" ht="46.5" customHeight="1">
      <c r="A10" s="871"/>
      <c r="B10" s="1202"/>
      <c r="C10" s="1208"/>
      <c r="D10" s="825" t="s">
        <v>930</v>
      </c>
      <c r="E10" s="825" t="s">
        <v>221</v>
      </c>
      <c r="F10" s="825" t="s">
        <v>19</v>
      </c>
      <c r="G10" s="1208"/>
      <c r="H10" s="825" t="s">
        <v>930</v>
      </c>
      <c r="I10" s="825" t="s">
        <v>221</v>
      </c>
      <c r="J10" s="825" t="s">
        <v>19</v>
      </c>
      <c r="K10" s="1208"/>
      <c r="L10" s="825" t="s">
        <v>930</v>
      </c>
      <c r="M10" s="825" t="s">
        <v>221</v>
      </c>
      <c r="N10" s="825" t="s">
        <v>19</v>
      </c>
      <c r="O10" s="1208"/>
      <c r="P10" s="825" t="s">
        <v>930</v>
      </c>
      <c r="Q10" s="825" t="s">
        <v>221</v>
      </c>
      <c r="R10" s="825" t="s">
        <v>19</v>
      </c>
      <c r="S10" s="1208"/>
      <c r="T10" s="825" t="s">
        <v>930</v>
      </c>
      <c r="U10" s="825" t="s">
        <v>221</v>
      </c>
      <c r="V10" s="825" t="s">
        <v>19</v>
      </c>
    </row>
    <row r="11" spans="1:22" s="827" customFormat="1" ht="15.75" customHeight="1">
      <c r="A11" s="626">
        <v>1</v>
      </c>
      <c r="B11" s="826">
        <v>2</v>
      </c>
      <c r="C11" s="826">
        <v>3</v>
      </c>
      <c r="D11" s="626">
        <v>4</v>
      </c>
      <c r="E11" s="826">
        <v>5</v>
      </c>
      <c r="F11" s="826">
        <v>6</v>
      </c>
      <c r="G11" s="626">
        <v>7</v>
      </c>
      <c r="H11" s="826">
        <v>8</v>
      </c>
      <c r="I11" s="826">
        <v>9</v>
      </c>
      <c r="J11" s="626">
        <v>10</v>
      </c>
      <c r="K11" s="826">
        <v>11</v>
      </c>
      <c r="L11" s="826">
        <v>12</v>
      </c>
      <c r="M11" s="626">
        <v>13</v>
      </c>
      <c r="N11" s="826">
        <v>14</v>
      </c>
      <c r="O11" s="826">
        <v>15</v>
      </c>
      <c r="P11" s="626">
        <v>16</v>
      </c>
      <c r="Q11" s="826">
        <v>17</v>
      </c>
      <c r="R11" s="826">
        <v>18</v>
      </c>
      <c r="S11" s="626">
        <v>19</v>
      </c>
      <c r="T11" s="826">
        <v>20</v>
      </c>
      <c r="U11" s="826">
        <v>21</v>
      </c>
      <c r="V11" s="626">
        <v>22</v>
      </c>
    </row>
    <row r="12" spans="1:22" ht="15">
      <c r="A12" s="828">
        <v>1</v>
      </c>
      <c r="B12" s="829"/>
      <c r="C12" s="830"/>
      <c r="D12" s="830"/>
      <c r="E12" s="830"/>
      <c r="F12" s="830"/>
      <c r="G12" s="830"/>
      <c r="H12" s="830"/>
      <c r="I12" s="830"/>
      <c r="J12" s="830"/>
      <c r="K12" s="830"/>
      <c r="L12" s="830"/>
      <c r="M12" s="830"/>
      <c r="N12" s="830"/>
      <c r="O12" s="830"/>
      <c r="P12" s="830"/>
      <c r="Q12" s="830"/>
      <c r="R12" s="830"/>
      <c r="S12" s="830"/>
      <c r="T12" s="830"/>
      <c r="U12" s="830"/>
      <c r="V12" s="830"/>
    </row>
    <row r="13" spans="1:22" ht="15">
      <c r="A13" s="828">
        <v>2</v>
      </c>
      <c r="B13" s="831"/>
      <c r="C13" s="830"/>
      <c r="D13" s="830"/>
      <c r="E13" s="830"/>
      <c r="F13" s="830"/>
      <c r="G13" s="830"/>
      <c r="H13" s="830"/>
      <c r="I13" s="830"/>
      <c r="J13" s="830"/>
      <c r="K13" s="830"/>
      <c r="L13" s="830"/>
      <c r="M13" s="830"/>
      <c r="N13" s="830"/>
      <c r="O13" s="830"/>
      <c r="P13" s="830"/>
      <c r="Q13" s="830"/>
      <c r="R13" s="830"/>
      <c r="S13" s="830"/>
      <c r="T13" s="830"/>
      <c r="U13" s="830"/>
      <c r="V13" s="830"/>
    </row>
    <row r="14" spans="1:22" ht="15">
      <c r="A14" s="828">
        <v>3</v>
      </c>
      <c r="B14" s="831"/>
      <c r="C14" s="830"/>
      <c r="D14" s="830"/>
      <c r="E14" s="830"/>
      <c r="F14" s="830"/>
      <c r="G14" s="830"/>
      <c r="H14" s="830"/>
      <c r="I14" s="830"/>
      <c r="J14" s="830"/>
      <c r="K14" s="830"/>
      <c r="L14" s="830"/>
      <c r="M14" s="830"/>
      <c r="N14" s="830"/>
      <c r="O14" s="830"/>
      <c r="P14" s="830"/>
      <c r="Q14" s="830"/>
      <c r="R14" s="830"/>
      <c r="S14" s="830"/>
      <c r="T14" s="830"/>
      <c r="U14" s="830"/>
      <c r="V14" s="830"/>
    </row>
    <row r="15" spans="1:22" ht="15">
      <c r="A15" s="828">
        <v>4</v>
      </c>
      <c r="B15" s="831"/>
      <c r="C15" s="830"/>
      <c r="D15" s="830"/>
      <c r="E15" s="830"/>
      <c r="F15" s="830"/>
      <c r="G15" s="830"/>
      <c r="H15" s="830"/>
      <c r="I15" s="830"/>
      <c r="J15" s="830"/>
      <c r="K15" s="830"/>
      <c r="L15" s="830"/>
      <c r="M15" s="830"/>
      <c r="N15" s="830"/>
      <c r="O15" s="830"/>
      <c r="P15" s="830"/>
      <c r="Q15" s="830"/>
      <c r="R15" s="830"/>
      <c r="S15" s="830"/>
      <c r="T15" s="830"/>
      <c r="U15" s="830"/>
      <c r="V15" s="830"/>
    </row>
    <row r="16" spans="1:22" ht="15">
      <c r="A16" s="828">
        <v>5</v>
      </c>
      <c r="B16" s="831"/>
      <c r="C16" s="830"/>
      <c r="D16" s="830"/>
      <c r="E16" s="830"/>
      <c r="F16" s="830"/>
      <c r="G16" s="830"/>
      <c r="H16" s="830"/>
      <c r="I16" s="830"/>
      <c r="J16" s="830"/>
      <c r="K16" s="830"/>
      <c r="L16" s="830"/>
      <c r="M16" s="830"/>
      <c r="N16" s="830"/>
      <c r="O16" s="830"/>
      <c r="P16" s="830"/>
      <c r="Q16" s="830"/>
      <c r="R16" s="830"/>
      <c r="S16" s="830"/>
      <c r="T16" s="830"/>
      <c r="U16" s="830"/>
      <c r="V16" s="830"/>
    </row>
    <row r="17" spans="1:22" ht="15">
      <c r="A17" s="828">
        <v>6</v>
      </c>
      <c r="B17" s="831"/>
      <c r="C17" s="830"/>
      <c r="D17" s="830"/>
      <c r="E17" s="830"/>
      <c r="F17" s="830"/>
      <c r="G17" s="830"/>
      <c r="H17" s="830"/>
      <c r="I17" s="830"/>
      <c r="J17" s="830"/>
      <c r="K17" s="830"/>
      <c r="L17" s="830"/>
      <c r="M17" s="830"/>
      <c r="N17" s="830"/>
      <c r="O17" s="830"/>
      <c r="P17" s="830"/>
      <c r="Q17" s="830"/>
      <c r="R17" s="830"/>
      <c r="S17" s="830"/>
      <c r="T17" s="830"/>
      <c r="U17" s="830"/>
      <c r="V17" s="830"/>
    </row>
    <row r="18" spans="1:22" ht="15">
      <c r="A18" s="828">
        <v>7</v>
      </c>
      <c r="B18" s="831"/>
      <c r="C18" s="830"/>
      <c r="D18" s="830"/>
      <c r="E18" s="830"/>
      <c r="F18" s="830"/>
      <c r="G18" s="830"/>
      <c r="H18" s="830"/>
      <c r="I18" s="830"/>
      <c r="J18" s="830"/>
      <c r="K18" s="830"/>
      <c r="L18" s="830"/>
      <c r="M18" s="830"/>
      <c r="N18" s="830"/>
      <c r="O18" s="830"/>
      <c r="P18" s="830"/>
      <c r="Q18" s="830"/>
      <c r="R18" s="830"/>
      <c r="S18" s="830"/>
      <c r="T18" s="830"/>
      <c r="U18" s="830"/>
      <c r="V18" s="830"/>
    </row>
    <row r="19" spans="1:22" ht="15">
      <c r="A19" s="828">
        <v>8</v>
      </c>
      <c r="B19" s="831"/>
      <c r="C19" s="830"/>
      <c r="D19" s="830"/>
      <c r="E19" s="830"/>
      <c r="F19" s="830"/>
      <c r="G19" s="830"/>
      <c r="H19" s="830"/>
      <c r="I19" s="830"/>
      <c r="J19" s="830"/>
      <c r="K19" s="830"/>
      <c r="L19" s="830"/>
      <c r="M19" s="830"/>
      <c r="N19" s="830"/>
      <c r="O19" s="830"/>
      <c r="P19" s="830"/>
      <c r="Q19" s="830"/>
      <c r="R19" s="830"/>
      <c r="S19" s="830"/>
      <c r="T19" s="830"/>
      <c r="U19" s="830"/>
      <c r="V19" s="830"/>
    </row>
    <row r="20" spans="1:22" ht="15">
      <c r="A20" s="828">
        <v>9</v>
      </c>
      <c r="B20" s="831"/>
      <c r="C20" s="830"/>
      <c r="D20" s="830"/>
      <c r="E20" s="830"/>
      <c r="F20" s="830"/>
      <c r="G20" s="830"/>
      <c r="H20" s="830"/>
      <c r="I20" s="830"/>
      <c r="J20" s="830"/>
      <c r="K20" s="830"/>
      <c r="L20" s="830"/>
      <c r="M20" s="830"/>
      <c r="N20" s="830"/>
      <c r="O20" s="830"/>
      <c r="P20" s="830"/>
      <c r="Q20" s="830"/>
      <c r="R20" s="830"/>
      <c r="S20" s="830"/>
      <c r="T20" s="830"/>
      <c r="U20" s="830"/>
      <c r="V20" s="830"/>
    </row>
    <row r="21" spans="1:22" ht="15">
      <c r="A21" s="828">
        <v>10</v>
      </c>
      <c r="B21" s="831"/>
      <c r="C21" s="830"/>
      <c r="D21" s="830"/>
      <c r="E21" s="830"/>
      <c r="F21" s="830"/>
      <c r="G21" s="830"/>
      <c r="H21" s="830"/>
      <c r="I21" s="830"/>
      <c r="J21" s="830"/>
      <c r="K21" s="830"/>
      <c r="L21" s="830"/>
      <c r="M21" s="830"/>
      <c r="N21" s="830"/>
      <c r="O21" s="830"/>
      <c r="P21" s="830"/>
      <c r="Q21" s="830"/>
      <c r="R21" s="830"/>
      <c r="S21" s="830"/>
      <c r="T21" s="830"/>
      <c r="U21" s="830"/>
      <c r="V21" s="830"/>
    </row>
    <row r="22" spans="1:22" ht="15">
      <c r="A22" s="828">
        <v>11</v>
      </c>
      <c r="B22" s="831"/>
      <c r="C22" s="830"/>
      <c r="D22" s="830"/>
      <c r="E22" s="830"/>
      <c r="F22" s="830"/>
      <c r="G22" s="830"/>
      <c r="H22" s="830"/>
      <c r="I22" s="830"/>
      <c r="J22" s="830"/>
      <c r="K22" s="830"/>
      <c r="L22" s="830"/>
      <c r="M22" s="830"/>
      <c r="N22" s="830"/>
      <c r="O22" s="830"/>
      <c r="P22" s="830"/>
      <c r="Q22" s="830"/>
      <c r="R22" s="830"/>
      <c r="S22" s="830"/>
      <c r="T22" s="830"/>
      <c r="U22" s="830"/>
      <c r="V22" s="830"/>
    </row>
    <row r="23" spans="1:22" ht="15">
      <c r="A23" s="828">
        <v>12</v>
      </c>
      <c r="B23" s="831"/>
      <c r="C23" s="830"/>
      <c r="D23" s="830"/>
      <c r="E23" s="830"/>
      <c r="F23" s="830"/>
      <c r="G23" s="830"/>
      <c r="H23" s="830"/>
      <c r="I23" s="830"/>
      <c r="J23" s="830"/>
      <c r="K23" s="830"/>
      <c r="L23" s="830"/>
      <c r="M23" s="830"/>
      <c r="N23" s="830"/>
      <c r="O23" s="830"/>
      <c r="P23" s="830"/>
      <c r="Q23" s="830"/>
      <c r="R23" s="830"/>
      <c r="S23" s="830"/>
      <c r="T23" s="830"/>
      <c r="U23" s="830"/>
      <c r="V23" s="830"/>
    </row>
    <row r="24" spans="1:22" ht="15">
      <c r="A24" s="828">
        <v>13</v>
      </c>
      <c r="B24" s="831"/>
      <c r="C24" s="830"/>
      <c r="D24" s="830"/>
      <c r="E24" s="830"/>
      <c r="F24" s="830"/>
      <c r="G24" s="830"/>
      <c r="H24" s="830"/>
      <c r="I24" s="830"/>
      <c r="J24" s="830"/>
      <c r="K24" s="830"/>
      <c r="L24" s="830"/>
      <c r="M24" s="830"/>
      <c r="N24" s="830"/>
      <c r="O24" s="830"/>
      <c r="P24" s="830"/>
      <c r="Q24" s="830"/>
      <c r="R24" s="830"/>
      <c r="S24" s="830"/>
      <c r="T24" s="830"/>
      <c r="U24" s="830"/>
      <c r="V24" s="830"/>
    </row>
    <row r="25" spans="1:22" ht="15">
      <c r="A25" s="828">
        <v>14</v>
      </c>
      <c r="B25" s="831"/>
      <c r="C25" s="830"/>
      <c r="D25" s="830"/>
      <c r="E25" s="830"/>
      <c r="F25" s="830"/>
      <c r="G25" s="830"/>
      <c r="H25" s="830"/>
      <c r="I25" s="830"/>
      <c r="J25" s="830"/>
      <c r="K25" s="830"/>
      <c r="L25" s="830"/>
      <c r="M25" s="830"/>
      <c r="N25" s="830"/>
      <c r="O25" s="830"/>
      <c r="P25" s="830"/>
      <c r="Q25" s="830"/>
      <c r="R25" s="830"/>
      <c r="S25" s="830"/>
      <c r="T25" s="830"/>
      <c r="U25" s="830"/>
      <c r="V25" s="830"/>
    </row>
    <row r="26" spans="1:48" s="830" customFormat="1" ht="15">
      <c r="A26" s="832" t="s">
        <v>7</v>
      </c>
      <c r="B26" s="831"/>
      <c r="W26" s="833"/>
      <c r="X26" s="833"/>
      <c r="Y26" s="833"/>
      <c r="Z26" s="833"/>
      <c r="AA26" s="833"/>
      <c r="AB26" s="833"/>
      <c r="AC26" s="833"/>
      <c r="AD26" s="833"/>
      <c r="AE26" s="833"/>
      <c r="AF26" s="833"/>
      <c r="AG26" s="833"/>
      <c r="AH26" s="833"/>
      <c r="AI26" s="833"/>
      <c r="AJ26" s="833"/>
      <c r="AK26" s="833"/>
      <c r="AL26" s="833"/>
      <c r="AM26" s="833"/>
      <c r="AN26" s="833"/>
      <c r="AO26" s="833"/>
      <c r="AP26" s="833"/>
      <c r="AQ26" s="833"/>
      <c r="AR26" s="833"/>
      <c r="AS26" s="833"/>
      <c r="AT26" s="833"/>
      <c r="AU26" s="833"/>
      <c r="AV26" s="833"/>
    </row>
    <row r="27" spans="1:22" ht="15">
      <c r="A27" s="832" t="s">
        <v>7</v>
      </c>
      <c r="B27" s="830"/>
      <c r="C27" s="830"/>
      <c r="D27" s="830"/>
      <c r="E27" s="830"/>
      <c r="F27" s="830"/>
      <c r="G27" s="830"/>
      <c r="H27" s="830"/>
      <c r="I27" s="830"/>
      <c r="J27" s="830"/>
      <c r="K27" s="830"/>
      <c r="L27" s="830"/>
      <c r="M27" s="830"/>
      <c r="N27" s="830"/>
      <c r="O27" s="830"/>
      <c r="P27" s="830"/>
      <c r="Q27" s="830"/>
      <c r="R27" s="830"/>
      <c r="S27" s="830"/>
      <c r="T27" s="830"/>
      <c r="U27" s="830"/>
      <c r="V27" s="830"/>
    </row>
    <row r="28" spans="1:22" ht="15">
      <c r="A28" s="832" t="s">
        <v>19</v>
      </c>
      <c r="B28" s="830"/>
      <c r="C28" s="830"/>
      <c r="D28" s="830"/>
      <c r="E28" s="830"/>
      <c r="F28" s="830"/>
      <c r="G28" s="830"/>
      <c r="H28" s="830"/>
      <c r="I28" s="830"/>
      <c r="J28" s="830"/>
      <c r="K28" s="830"/>
      <c r="L28" s="830"/>
      <c r="M28" s="830"/>
      <c r="N28" s="830"/>
      <c r="O28" s="830"/>
      <c r="P28" s="830"/>
      <c r="Q28" s="830"/>
      <c r="R28" s="830"/>
      <c r="S28" s="830"/>
      <c r="T28" s="830"/>
      <c r="U28" s="830"/>
      <c r="V28" s="830"/>
    </row>
    <row r="30" spans="1:22" s="15" customFormat="1" ht="12.75">
      <c r="A30" s="14" t="s">
        <v>12</v>
      </c>
      <c r="G30" s="14"/>
      <c r="H30" s="14"/>
      <c r="K30" s="14"/>
      <c r="L30" s="14"/>
      <c r="M30" s="14"/>
      <c r="N30" s="14"/>
      <c r="O30" s="14"/>
      <c r="P30" s="14"/>
      <c r="Q30" s="14"/>
      <c r="R30" s="14"/>
      <c r="S30" s="83"/>
      <c r="T30" s="881" t="s">
        <v>13</v>
      </c>
      <c r="U30" s="881"/>
      <c r="V30" s="83"/>
    </row>
    <row r="31" spans="11:22" s="15" customFormat="1" ht="12.75" customHeight="1">
      <c r="K31" s="1001" t="s">
        <v>14</v>
      </c>
      <c r="L31" s="1001"/>
      <c r="M31" s="1001"/>
      <c r="N31" s="1001"/>
      <c r="O31" s="1001"/>
      <c r="P31" s="1001"/>
      <c r="Q31" s="1001"/>
      <c r="R31" s="1001"/>
      <c r="S31" s="1001"/>
      <c r="T31" s="1001"/>
      <c r="U31" s="1001"/>
      <c r="V31" s="1001"/>
    </row>
    <row r="32" spans="10:22" s="15" customFormat="1" ht="12.75" customHeight="1">
      <c r="J32" s="1001" t="s">
        <v>662</v>
      </c>
      <c r="K32" s="1001"/>
      <c r="L32" s="1001"/>
      <c r="M32" s="1001"/>
      <c r="N32" s="1001"/>
      <c r="O32" s="1001"/>
      <c r="P32" s="1001"/>
      <c r="Q32" s="1001"/>
      <c r="R32" s="1001"/>
      <c r="S32" s="1001"/>
      <c r="T32" s="1001"/>
      <c r="U32" s="1001"/>
      <c r="V32" s="1001"/>
    </row>
    <row r="33" spans="1:22" s="15" customFormat="1" ht="12.75">
      <c r="A33" s="14"/>
      <c r="B33" s="14"/>
      <c r="K33" s="14"/>
      <c r="L33" s="14"/>
      <c r="M33" s="14"/>
      <c r="N33" s="14"/>
      <c r="O33" s="14"/>
      <c r="P33" s="14"/>
      <c r="Q33" s="853" t="s">
        <v>84</v>
      </c>
      <c r="R33" s="853"/>
      <c r="S33" s="853"/>
      <c r="T33" s="853"/>
      <c r="U33" s="853"/>
      <c r="V33" s="853"/>
    </row>
  </sheetData>
  <sheetProtection/>
  <mergeCells count="24">
    <mergeCell ref="Q33:V33"/>
    <mergeCell ref="O9:O10"/>
    <mergeCell ref="P9:R9"/>
    <mergeCell ref="S9:S10"/>
    <mergeCell ref="T9:V9"/>
    <mergeCell ref="T30:U30"/>
    <mergeCell ref="K31:V31"/>
    <mergeCell ref="L9:N9"/>
    <mergeCell ref="C9:C10"/>
    <mergeCell ref="D9:F9"/>
    <mergeCell ref="G9:G10"/>
    <mergeCell ref="H9:J9"/>
    <mergeCell ref="K9:K10"/>
    <mergeCell ref="J32:V32"/>
    <mergeCell ref="U1:V1"/>
    <mergeCell ref="E2:P2"/>
    <mergeCell ref="C4:Q4"/>
    <mergeCell ref="A8:A10"/>
    <mergeCell ref="B8:B10"/>
    <mergeCell ref="C8:F8"/>
    <mergeCell ref="G8:J8"/>
    <mergeCell ref="K8:N8"/>
    <mergeCell ref="O8:R8"/>
    <mergeCell ref="S8:V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6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V45"/>
  <sheetViews>
    <sheetView view="pageBreakPreview" zoomScale="90" zoomScaleNormal="90" zoomScaleSheetLayoutView="90" zoomScalePageLayoutView="0" workbookViewId="0" topLeftCell="A1">
      <selection activeCell="O17" sqref="O17"/>
    </sheetView>
  </sheetViews>
  <sheetFormatPr defaultColWidth="9.140625" defaultRowHeight="12.75"/>
  <cols>
    <col min="1" max="1" width="6.28125" style="611" customWidth="1"/>
    <col min="2" max="2" width="11.28125" style="611" customWidth="1"/>
    <col min="3" max="3" width="9.7109375" style="611" customWidth="1"/>
    <col min="4" max="4" width="8.140625" style="611" customWidth="1"/>
    <col min="5" max="5" width="7.421875" style="611" customWidth="1"/>
    <col min="6" max="6" width="9.140625" style="611" customWidth="1"/>
    <col min="7" max="7" width="9.57421875" style="611" customWidth="1"/>
    <col min="8" max="8" width="8.140625" style="611" customWidth="1"/>
    <col min="9" max="9" width="6.8515625" style="611" customWidth="1"/>
    <col min="10" max="10" width="9.28125" style="611" customWidth="1"/>
    <col min="11" max="11" width="10.57421875" style="611" customWidth="1"/>
    <col min="12" max="12" width="8.7109375" style="611" customWidth="1"/>
    <col min="13" max="13" width="7.421875" style="611" customWidth="1"/>
    <col min="14" max="14" width="8.57421875" style="611" customWidth="1"/>
    <col min="15" max="15" width="8.7109375" style="611" customWidth="1"/>
    <col min="16" max="16" width="8.57421875" style="611" customWidth="1"/>
    <col min="17" max="17" width="7.8515625" style="611" customWidth="1"/>
    <col min="18" max="18" width="8.57421875" style="611" customWidth="1"/>
    <col min="19" max="20" width="10.57421875" style="611" customWidth="1"/>
    <col min="21" max="21" width="11.140625" style="611" customWidth="1"/>
    <col min="22" max="22" width="10.7109375" style="611" bestFit="1" customWidth="1"/>
    <col min="23" max="16384" width="9.140625" style="611" customWidth="1"/>
  </cols>
  <sheetData>
    <row r="1" spans="3:24" s="15" customFormat="1" ht="15.75">
      <c r="C1" s="44"/>
      <c r="D1" s="44"/>
      <c r="E1" s="44"/>
      <c r="F1" s="44"/>
      <c r="G1" s="44"/>
      <c r="H1" s="44"/>
      <c r="I1" s="106" t="s">
        <v>0</v>
      </c>
      <c r="J1" s="106"/>
      <c r="S1" s="40"/>
      <c r="T1" s="40"/>
      <c r="U1" s="967" t="s">
        <v>922</v>
      </c>
      <c r="V1" s="967"/>
      <c r="W1" s="42"/>
      <c r="X1" s="42"/>
    </row>
    <row r="2" spans="5:16" s="15" customFormat="1" ht="20.25">
      <c r="E2" s="902" t="s">
        <v>859</v>
      </c>
      <c r="F2" s="902"/>
      <c r="G2" s="902"/>
      <c r="H2" s="902"/>
      <c r="I2" s="902"/>
      <c r="J2" s="902"/>
      <c r="K2" s="902"/>
      <c r="L2" s="902"/>
      <c r="M2" s="902"/>
      <c r="N2" s="902"/>
      <c r="O2" s="902"/>
      <c r="P2" s="902"/>
    </row>
    <row r="3" spans="8:16" s="15" customFormat="1" ht="20.25">
      <c r="H3" s="43"/>
      <c r="I3" s="43"/>
      <c r="J3" s="43"/>
      <c r="K3" s="43"/>
      <c r="L3" s="43"/>
      <c r="M3" s="43"/>
      <c r="N3" s="43"/>
      <c r="O3" s="43"/>
      <c r="P3" s="43"/>
    </row>
    <row r="4" spans="3:23" ht="15.75">
      <c r="C4" s="903" t="s">
        <v>923</v>
      </c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46"/>
      <c r="S4" s="111"/>
      <c r="T4" s="111"/>
      <c r="U4" s="111"/>
      <c r="V4" s="111"/>
      <c r="W4" s="106"/>
    </row>
    <row r="5" spans="3:23" ht="15">
      <c r="C5" s="612"/>
      <c r="D5" s="612"/>
      <c r="E5" s="612"/>
      <c r="F5" s="612"/>
      <c r="G5" s="612"/>
      <c r="H5" s="612"/>
      <c r="M5" s="612"/>
      <c r="N5" s="612"/>
      <c r="O5" s="612"/>
      <c r="P5" s="612"/>
      <c r="Q5" s="612"/>
      <c r="R5" s="612"/>
      <c r="S5" s="612"/>
      <c r="T5" s="612"/>
      <c r="U5" s="612"/>
      <c r="V5" s="612"/>
      <c r="W5" s="612"/>
    </row>
    <row r="6" spans="1:2" ht="15">
      <c r="A6" s="625" t="s">
        <v>636</v>
      </c>
      <c r="B6" s="614"/>
    </row>
    <row r="7" ht="15">
      <c r="B7" s="615"/>
    </row>
    <row r="8" spans="1:22" s="625" customFormat="1" ht="12.75" customHeight="1">
      <c r="A8" s="871" t="s">
        <v>2</v>
      </c>
      <c r="B8" s="1215" t="s">
        <v>3</v>
      </c>
      <c r="C8" s="1216" t="s">
        <v>924</v>
      </c>
      <c r="D8" s="1217"/>
      <c r="E8" s="1217"/>
      <c r="F8" s="1217"/>
      <c r="G8" s="1216" t="s">
        <v>925</v>
      </c>
      <c r="H8" s="1217"/>
      <c r="I8" s="1217"/>
      <c r="J8" s="1217"/>
      <c r="K8" s="1216" t="s">
        <v>926</v>
      </c>
      <c r="L8" s="1217"/>
      <c r="M8" s="1217"/>
      <c r="N8" s="1217"/>
      <c r="O8" s="1216" t="s">
        <v>927</v>
      </c>
      <c r="P8" s="1217"/>
      <c r="Q8" s="1217"/>
      <c r="R8" s="1217"/>
      <c r="S8" s="1218" t="s">
        <v>19</v>
      </c>
      <c r="T8" s="1219"/>
      <c r="U8" s="1219"/>
      <c r="V8" s="1219"/>
    </row>
    <row r="9" spans="1:22" s="616" customFormat="1" ht="29.25" customHeight="1">
      <c r="A9" s="871"/>
      <c r="B9" s="1215"/>
      <c r="C9" s="1220" t="s">
        <v>928</v>
      </c>
      <c r="D9" s="1212" t="s">
        <v>929</v>
      </c>
      <c r="E9" s="1213"/>
      <c r="F9" s="1214"/>
      <c r="G9" s="1220" t="s">
        <v>928</v>
      </c>
      <c r="H9" s="1212" t="s">
        <v>929</v>
      </c>
      <c r="I9" s="1213"/>
      <c r="J9" s="1214"/>
      <c r="K9" s="1220" t="s">
        <v>928</v>
      </c>
      <c r="L9" s="1212" t="s">
        <v>929</v>
      </c>
      <c r="M9" s="1213"/>
      <c r="N9" s="1214"/>
      <c r="O9" s="1220" t="s">
        <v>928</v>
      </c>
      <c r="P9" s="1212" t="s">
        <v>929</v>
      </c>
      <c r="Q9" s="1213"/>
      <c r="R9" s="1214"/>
      <c r="S9" s="1220" t="s">
        <v>928</v>
      </c>
      <c r="T9" s="1212" t="s">
        <v>929</v>
      </c>
      <c r="U9" s="1213"/>
      <c r="V9" s="1214"/>
    </row>
    <row r="10" spans="1:22" s="616" customFormat="1" ht="30.75" customHeight="1">
      <c r="A10" s="871"/>
      <c r="B10" s="1215"/>
      <c r="C10" s="1221"/>
      <c r="D10" s="620" t="s">
        <v>930</v>
      </c>
      <c r="E10" s="620" t="s">
        <v>221</v>
      </c>
      <c r="F10" s="620" t="s">
        <v>19</v>
      </c>
      <c r="G10" s="1221"/>
      <c r="H10" s="620" t="s">
        <v>930</v>
      </c>
      <c r="I10" s="620" t="s">
        <v>221</v>
      </c>
      <c r="J10" s="620" t="s">
        <v>19</v>
      </c>
      <c r="K10" s="1221"/>
      <c r="L10" s="620" t="s">
        <v>930</v>
      </c>
      <c r="M10" s="620" t="s">
        <v>221</v>
      </c>
      <c r="N10" s="620" t="s">
        <v>19</v>
      </c>
      <c r="O10" s="1221"/>
      <c r="P10" s="620" t="s">
        <v>930</v>
      </c>
      <c r="Q10" s="620" t="s">
        <v>221</v>
      </c>
      <c r="R10" s="620" t="s">
        <v>19</v>
      </c>
      <c r="S10" s="1221"/>
      <c r="T10" s="620" t="s">
        <v>930</v>
      </c>
      <c r="U10" s="620" t="s">
        <v>221</v>
      </c>
      <c r="V10" s="620" t="s">
        <v>19</v>
      </c>
    </row>
    <row r="11" spans="1:22" s="628" customFormat="1" ht="15.75" customHeight="1">
      <c r="A11" s="626">
        <v>1</v>
      </c>
      <c r="B11" s="627">
        <v>2</v>
      </c>
      <c r="C11" s="627">
        <v>3</v>
      </c>
      <c r="D11" s="626">
        <v>4</v>
      </c>
      <c r="E11" s="627">
        <v>5</v>
      </c>
      <c r="F11" s="627">
        <v>6</v>
      </c>
      <c r="G11" s="626">
        <v>7</v>
      </c>
      <c r="H11" s="627">
        <v>8</v>
      </c>
      <c r="I11" s="627">
        <v>9</v>
      </c>
      <c r="J11" s="626">
        <v>10</v>
      </c>
      <c r="K11" s="627">
        <v>11</v>
      </c>
      <c r="L11" s="627">
        <v>12</v>
      </c>
      <c r="M11" s="626">
        <v>13</v>
      </c>
      <c r="N11" s="627">
        <v>14</v>
      </c>
      <c r="O11" s="627">
        <v>15</v>
      </c>
      <c r="P11" s="626">
        <v>16</v>
      </c>
      <c r="Q11" s="627">
        <v>17</v>
      </c>
      <c r="R11" s="627">
        <v>18</v>
      </c>
      <c r="S11" s="626">
        <v>19</v>
      </c>
      <c r="T11" s="627">
        <v>20</v>
      </c>
      <c r="U11" s="627">
        <v>21</v>
      </c>
      <c r="V11" s="626">
        <v>22</v>
      </c>
    </row>
    <row r="12" spans="1:22" s="628" customFormat="1" ht="15.75" customHeight="1">
      <c r="A12" s="262">
        <v>1</v>
      </c>
      <c r="B12" s="195" t="s">
        <v>841</v>
      </c>
      <c r="C12" s="627"/>
      <c r="D12" s="626"/>
      <c r="E12" s="627"/>
      <c r="F12" s="627"/>
      <c r="G12" s="626"/>
      <c r="H12" s="627"/>
      <c r="I12" s="627"/>
      <c r="J12" s="626"/>
      <c r="K12" s="627"/>
      <c r="L12" s="627"/>
      <c r="M12" s="626"/>
      <c r="N12" s="627"/>
      <c r="O12" s="627"/>
      <c r="P12" s="626"/>
      <c r="Q12" s="627"/>
      <c r="R12" s="627"/>
      <c r="S12" s="626"/>
      <c r="T12" s="627"/>
      <c r="U12" s="627"/>
      <c r="V12" s="626"/>
    </row>
    <row r="13" spans="1:22" s="628" customFormat="1" ht="15.75" customHeight="1">
      <c r="A13" s="260">
        <v>2</v>
      </c>
      <c r="B13" s="195" t="s">
        <v>833</v>
      </c>
      <c r="C13" s="627"/>
      <c r="D13" s="626"/>
      <c r="E13" s="627"/>
      <c r="F13" s="627"/>
      <c r="G13" s="626"/>
      <c r="H13" s="627"/>
      <c r="I13" s="627"/>
      <c r="J13" s="626"/>
      <c r="K13" s="627"/>
      <c r="L13" s="627"/>
      <c r="M13" s="626"/>
      <c r="N13" s="627"/>
      <c r="O13" s="627"/>
      <c r="P13" s="626"/>
      <c r="Q13" s="627"/>
      <c r="R13" s="627"/>
      <c r="S13" s="626"/>
      <c r="T13" s="627"/>
      <c r="U13" s="627"/>
      <c r="V13" s="626"/>
    </row>
    <row r="14" spans="1:22" s="628" customFormat="1" ht="15.75" customHeight="1">
      <c r="A14" s="260">
        <v>3</v>
      </c>
      <c r="B14" s="195" t="s">
        <v>839</v>
      </c>
      <c r="C14" s="627"/>
      <c r="D14" s="626"/>
      <c r="E14" s="627"/>
      <c r="F14" s="627"/>
      <c r="G14" s="626"/>
      <c r="H14" s="627"/>
      <c r="I14" s="627"/>
      <c r="J14" s="626"/>
      <c r="K14" s="627"/>
      <c r="L14" s="627"/>
      <c r="M14" s="626"/>
      <c r="N14" s="627"/>
      <c r="O14" s="627"/>
      <c r="P14" s="626"/>
      <c r="Q14" s="627"/>
      <c r="R14" s="627"/>
      <c r="S14" s="626"/>
      <c r="T14" s="627"/>
      <c r="U14" s="627"/>
      <c r="V14" s="626"/>
    </row>
    <row r="15" spans="1:22" s="628" customFormat="1" ht="15.75" customHeight="1">
      <c r="A15" s="260">
        <v>4</v>
      </c>
      <c r="B15" s="195" t="s">
        <v>743</v>
      </c>
      <c r="C15" s="627"/>
      <c r="D15" s="626"/>
      <c r="E15" s="627"/>
      <c r="F15" s="627"/>
      <c r="G15" s="626"/>
      <c r="H15" s="627"/>
      <c r="I15" s="627"/>
      <c r="J15" s="626"/>
      <c r="K15" s="627"/>
      <c r="L15" s="627"/>
      <c r="M15" s="626"/>
      <c r="N15" s="627"/>
      <c r="O15" s="627"/>
      <c r="P15" s="626"/>
      <c r="Q15" s="627"/>
      <c r="R15" s="627"/>
      <c r="S15" s="626"/>
      <c r="T15" s="627"/>
      <c r="U15" s="627"/>
      <c r="V15" s="626"/>
    </row>
    <row r="16" spans="1:22" s="628" customFormat="1" ht="15.75" customHeight="1">
      <c r="A16" s="260">
        <v>5</v>
      </c>
      <c r="B16" s="195" t="s">
        <v>748</v>
      </c>
      <c r="C16" s="627"/>
      <c r="D16" s="626"/>
      <c r="E16" s="627"/>
      <c r="F16" s="627"/>
      <c r="G16" s="626"/>
      <c r="H16" s="627"/>
      <c r="I16" s="627"/>
      <c r="J16" s="626"/>
      <c r="K16" s="627"/>
      <c r="L16" s="627"/>
      <c r="M16" s="626"/>
      <c r="N16" s="627"/>
      <c r="O16" s="627"/>
      <c r="P16" s="626"/>
      <c r="Q16" s="627"/>
      <c r="R16" s="627"/>
      <c r="S16" s="626"/>
      <c r="T16" s="627"/>
      <c r="U16" s="627"/>
      <c r="V16" s="626"/>
    </row>
    <row r="17" spans="1:22" s="628" customFormat="1" ht="15.75" customHeight="1">
      <c r="A17" s="260">
        <v>6</v>
      </c>
      <c r="B17" s="195" t="s">
        <v>747</v>
      </c>
      <c r="C17" s="627"/>
      <c r="D17" s="626"/>
      <c r="E17" s="627"/>
      <c r="F17" s="627"/>
      <c r="G17" s="626"/>
      <c r="H17" s="627"/>
      <c r="I17" s="627"/>
      <c r="J17" s="626"/>
      <c r="K17" s="627"/>
      <c r="L17" s="627"/>
      <c r="M17" s="626"/>
      <c r="N17" s="627"/>
      <c r="O17" s="627"/>
      <c r="P17" s="626"/>
      <c r="Q17" s="627"/>
      <c r="R17" s="627"/>
      <c r="S17" s="626"/>
      <c r="T17" s="627"/>
      <c r="U17" s="627"/>
      <c r="V17" s="626"/>
    </row>
    <row r="18" spans="1:22" s="628" customFormat="1" ht="15.75" customHeight="1">
      <c r="A18" s="260">
        <v>7</v>
      </c>
      <c r="B18" s="195" t="s">
        <v>737</v>
      </c>
      <c r="C18" s="627"/>
      <c r="D18" s="626"/>
      <c r="E18" s="627"/>
      <c r="F18" s="627"/>
      <c r="G18" s="626"/>
      <c r="H18" s="627"/>
      <c r="I18" s="627"/>
      <c r="J18" s="626"/>
      <c r="K18" s="627"/>
      <c r="L18" s="627"/>
      <c r="M18" s="626"/>
      <c r="N18" s="627"/>
      <c r="O18" s="627"/>
      <c r="P18" s="626"/>
      <c r="Q18" s="627"/>
      <c r="R18" s="627"/>
      <c r="S18" s="626"/>
      <c r="T18" s="627"/>
      <c r="U18" s="627"/>
      <c r="V18" s="626"/>
    </row>
    <row r="19" spans="1:22" s="628" customFormat="1" ht="15.75" customHeight="1">
      <c r="A19" s="260">
        <v>8</v>
      </c>
      <c r="B19" s="195" t="s">
        <v>749</v>
      </c>
      <c r="C19" s="627"/>
      <c r="D19" s="626"/>
      <c r="E19" s="627"/>
      <c r="F19" s="627"/>
      <c r="G19" s="626"/>
      <c r="H19" s="627"/>
      <c r="I19" s="627"/>
      <c r="J19" s="626"/>
      <c r="K19" s="627"/>
      <c r="L19" s="627"/>
      <c r="M19" s="626"/>
      <c r="N19" s="627"/>
      <c r="O19" s="627"/>
      <c r="P19" s="626"/>
      <c r="Q19" s="627"/>
      <c r="R19" s="627"/>
      <c r="S19" s="626"/>
      <c r="T19" s="627"/>
      <c r="U19" s="627"/>
      <c r="V19" s="626"/>
    </row>
    <row r="20" spans="1:22" s="628" customFormat="1" ht="15.75" customHeight="1">
      <c r="A20" s="260">
        <v>9</v>
      </c>
      <c r="B20" s="195" t="s">
        <v>834</v>
      </c>
      <c r="C20" s="627"/>
      <c r="D20" s="626"/>
      <c r="E20" s="627"/>
      <c r="F20" s="627"/>
      <c r="G20" s="626"/>
      <c r="H20" s="627"/>
      <c r="I20" s="627"/>
      <c r="J20" s="626"/>
      <c r="K20" s="627"/>
      <c r="L20" s="627"/>
      <c r="M20" s="626"/>
      <c r="N20" s="627"/>
      <c r="O20" s="627"/>
      <c r="P20" s="626"/>
      <c r="Q20" s="627"/>
      <c r="R20" s="627"/>
      <c r="S20" s="626"/>
      <c r="T20" s="627"/>
      <c r="U20" s="627"/>
      <c r="V20" s="626"/>
    </row>
    <row r="21" spans="1:22" s="628" customFormat="1" ht="15.75" customHeight="1">
      <c r="A21" s="260">
        <v>10</v>
      </c>
      <c r="B21" s="195" t="s">
        <v>739</v>
      </c>
      <c r="C21" s="627"/>
      <c r="D21" s="626"/>
      <c r="E21" s="627"/>
      <c r="F21" s="627"/>
      <c r="G21" s="626"/>
      <c r="H21" s="627"/>
      <c r="I21" s="627"/>
      <c r="J21" s="626"/>
      <c r="K21" s="627"/>
      <c r="L21" s="627"/>
      <c r="M21" s="626"/>
      <c r="N21" s="627"/>
      <c r="O21" s="627"/>
      <c r="P21" s="626"/>
      <c r="Q21" s="627"/>
      <c r="R21" s="627"/>
      <c r="S21" s="626"/>
      <c r="T21" s="627"/>
      <c r="U21" s="627"/>
      <c r="V21" s="626"/>
    </row>
    <row r="22" spans="1:22" ht="15">
      <c r="A22" s="260">
        <v>11</v>
      </c>
      <c r="B22" s="195" t="s">
        <v>840</v>
      </c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621"/>
      <c r="N22" s="621"/>
      <c r="O22" s="621"/>
      <c r="P22" s="621"/>
      <c r="Q22" s="621"/>
      <c r="R22" s="621"/>
      <c r="S22" s="621"/>
      <c r="T22" s="621"/>
      <c r="U22" s="621"/>
      <c r="V22" s="621"/>
    </row>
    <row r="23" spans="1:22" ht="15">
      <c r="A23" s="260">
        <v>12</v>
      </c>
      <c r="B23" s="195" t="s">
        <v>837</v>
      </c>
      <c r="C23" s="621"/>
      <c r="D23" s="621"/>
      <c r="E23" s="621"/>
      <c r="F23" s="621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1"/>
      <c r="T23" s="621"/>
      <c r="U23" s="621"/>
      <c r="V23" s="621"/>
    </row>
    <row r="24" spans="1:22" ht="15">
      <c r="A24" s="260">
        <v>13</v>
      </c>
      <c r="B24" s="195" t="s">
        <v>831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</row>
    <row r="25" spans="1:22" ht="15">
      <c r="A25" s="260">
        <v>14</v>
      </c>
      <c r="B25" s="195" t="s">
        <v>740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</row>
    <row r="26" spans="1:22" ht="15">
      <c r="A26" s="260">
        <v>15</v>
      </c>
      <c r="B26" s="195" t="s">
        <v>835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</row>
    <row r="27" spans="1:22" ht="15">
      <c r="A27" s="260">
        <v>16</v>
      </c>
      <c r="B27" s="195" t="s">
        <v>832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</row>
    <row r="28" spans="1:22" ht="15">
      <c r="A28" s="260">
        <v>17</v>
      </c>
      <c r="B28" s="195" t="s">
        <v>733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</row>
    <row r="29" spans="1:22" ht="15">
      <c r="A29" s="260">
        <v>18</v>
      </c>
      <c r="B29" s="195" t="s">
        <v>735</v>
      </c>
      <c r="C29" s="621"/>
      <c r="D29" s="621"/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621"/>
      <c r="P29" s="621"/>
      <c r="Q29" s="621"/>
      <c r="R29" s="621"/>
      <c r="S29" s="621"/>
      <c r="T29" s="621"/>
      <c r="U29" s="621"/>
      <c r="V29" s="621"/>
    </row>
    <row r="30" spans="1:22" ht="15">
      <c r="A30" s="260">
        <v>19</v>
      </c>
      <c r="B30" s="195" t="s">
        <v>732</v>
      </c>
      <c r="C30" s="621"/>
      <c r="D30" s="621"/>
      <c r="E30" s="621"/>
      <c r="F30" s="621"/>
      <c r="G30" s="621"/>
      <c r="H30" s="621"/>
      <c r="I30" s="621"/>
      <c r="J30" s="621"/>
      <c r="K30" s="621"/>
      <c r="L30" s="621"/>
      <c r="M30" s="621"/>
      <c r="N30" s="621"/>
      <c r="O30" s="621"/>
      <c r="P30" s="621"/>
      <c r="Q30" s="621"/>
      <c r="R30" s="621"/>
      <c r="S30" s="621"/>
      <c r="T30" s="621"/>
      <c r="U30" s="621"/>
      <c r="V30" s="621"/>
    </row>
    <row r="31" spans="1:22" ht="15">
      <c r="A31" s="260">
        <v>20</v>
      </c>
      <c r="B31" s="195" t="s">
        <v>836</v>
      </c>
      <c r="C31" s="621"/>
      <c r="D31" s="621"/>
      <c r="E31" s="621"/>
      <c r="F31" s="621"/>
      <c r="G31" s="621"/>
      <c r="H31" s="621"/>
      <c r="I31" s="621"/>
      <c r="J31" s="621"/>
      <c r="K31" s="621"/>
      <c r="L31" s="621"/>
      <c r="M31" s="621"/>
      <c r="N31" s="621"/>
      <c r="O31" s="621"/>
      <c r="P31" s="621"/>
      <c r="Q31" s="621"/>
      <c r="R31" s="621"/>
      <c r="S31" s="621"/>
      <c r="T31" s="621"/>
      <c r="U31" s="621"/>
      <c r="V31" s="621"/>
    </row>
    <row r="32" spans="1:22" ht="15">
      <c r="A32" s="260">
        <v>21</v>
      </c>
      <c r="B32" s="195" t="s">
        <v>729</v>
      </c>
      <c r="C32" s="621"/>
      <c r="D32" s="621"/>
      <c r="E32" s="621"/>
      <c r="F32" s="621"/>
      <c r="G32" s="621"/>
      <c r="H32" s="621"/>
      <c r="I32" s="621"/>
      <c r="J32" s="621"/>
      <c r="K32" s="621"/>
      <c r="L32" s="621"/>
      <c r="M32" s="621"/>
      <c r="N32" s="621"/>
      <c r="O32" s="621"/>
      <c r="P32" s="621"/>
      <c r="Q32" s="621"/>
      <c r="R32" s="621"/>
      <c r="S32" s="621"/>
      <c r="T32" s="621"/>
      <c r="U32" s="621"/>
      <c r="V32" s="621"/>
    </row>
    <row r="33" spans="1:22" ht="15">
      <c r="A33" s="260">
        <v>22</v>
      </c>
      <c r="B33" s="195" t="s">
        <v>746</v>
      </c>
      <c r="C33" s="621"/>
      <c r="D33" s="621"/>
      <c r="E33" s="621"/>
      <c r="F33" s="621"/>
      <c r="G33" s="621"/>
      <c r="H33" s="621"/>
      <c r="I33" s="621"/>
      <c r="J33" s="621"/>
      <c r="K33" s="621"/>
      <c r="L33" s="621"/>
      <c r="M33" s="621"/>
      <c r="N33" s="621"/>
      <c r="O33" s="621"/>
      <c r="P33" s="621"/>
      <c r="Q33" s="621"/>
      <c r="R33" s="621"/>
      <c r="S33" s="621"/>
      <c r="T33" s="621"/>
      <c r="U33" s="621"/>
      <c r="V33" s="621"/>
    </row>
    <row r="34" spans="1:22" ht="15">
      <c r="A34" s="260">
        <v>23</v>
      </c>
      <c r="B34" s="195" t="s">
        <v>738</v>
      </c>
      <c r="C34" s="621"/>
      <c r="D34" s="621"/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1"/>
      <c r="P34" s="621"/>
      <c r="Q34" s="621"/>
      <c r="R34" s="621"/>
      <c r="S34" s="621"/>
      <c r="T34" s="621"/>
      <c r="U34" s="621"/>
      <c r="V34" s="621"/>
    </row>
    <row r="35" spans="1:22" ht="15">
      <c r="A35" s="260">
        <v>24</v>
      </c>
      <c r="B35" s="195" t="s">
        <v>730</v>
      </c>
      <c r="C35" s="621"/>
      <c r="D35" s="621"/>
      <c r="E35" s="621"/>
      <c r="F35" s="621"/>
      <c r="G35" s="621"/>
      <c r="H35" s="621"/>
      <c r="I35" s="621"/>
      <c r="J35" s="621"/>
      <c r="K35" s="621"/>
      <c r="L35" s="621"/>
      <c r="M35" s="621"/>
      <c r="N35" s="621"/>
      <c r="O35" s="621"/>
      <c r="P35" s="621"/>
      <c r="Q35" s="621"/>
      <c r="R35" s="621"/>
      <c r="S35" s="621"/>
      <c r="T35" s="621"/>
      <c r="U35" s="621"/>
      <c r="V35" s="621"/>
    </row>
    <row r="36" spans="1:22" ht="15">
      <c r="A36" s="260">
        <v>25</v>
      </c>
      <c r="B36" s="195" t="s">
        <v>736</v>
      </c>
      <c r="C36" s="621"/>
      <c r="D36" s="621"/>
      <c r="E36" s="621"/>
      <c r="F36" s="621"/>
      <c r="G36" s="621"/>
      <c r="H36" s="621"/>
      <c r="I36" s="621"/>
      <c r="J36" s="621"/>
      <c r="K36" s="621"/>
      <c r="L36" s="621"/>
      <c r="M36" s="621"/>
      <c r="N36" s="621"/>
      <c r="O36" s="621"/>
      <c r="P36" s="621"/>
      <c r="Q36" s="621"/>
      <c r="R36" s="621"/>
      <c r="S36" s="621"/>
      <c r="T36" s="621"/>
      <c r="U36" s="621"/>
      <c r="V36" s="621"/>
    </row>
    <row r="37" spans="1:48" s="621" customFormat="1" ht="15">
      <c r="A37" s="260">
        <v>26</v>
      </c>
      <c r="B37" s="195" t="s">
        <v>744</v>
      </c>
      <c r="W37" s="622"/>
      <c r="X37" s="622"/>
      <c r="Y37" s="622"/>
      <c r="Z37" s="622"/>
      <c r="AA37" s="622"/>
      <c r="AB37" s="622"/>
      <c r="AC37" s="622"/>
      <c r="AD37" s="622"/>
      <c r="AE37" s="622"/>
      <c r="AF37" s="622"/>
      <c r="AG37" s="622"/>
      <c r="AH37" s="622"/>
      <c r="AI37" s="622"/>
      <c r="AJ37" s="622"/>
      <c r="AK37" s="622"/>
      <c r="AL37" s="622"/>
      <c r="AM37" s="622"/>
      <c r="AN37" s="622"/>
      <c r="AO37" s="622"/>
      <c r="AP37" s="622"/>
      <c r="AQ37" s="622"/>
      <c r="AR37" s="622"/>
      <c r="AS37" s="622"/>
      <c r="AT37" s="622"/>
      <c r="AU37" s="622"/>
      <c r="AV37" s="622"/>
    </row>
    <row r="38" spans="1:22" ht="15">
      <c r="A38" s="262">
        <v>27</v>
      </c>
      <c r="B38" s="195" t="s">
        <v>838</v>
      </c>
      <c r="C38" s="621"/>
      <c r="D38" s="621"/>
      <c r="E38" s="621"/>
      <c r="F38" s="621"/>
      <c r="G38" s="621"/>
      <c r="H38" s="621"/>
      <c r="I38" s="621"/>
      <c r="J38" s="621"/>
      <c r="K38" s="621"/>
      <c r="L38" s="621"/>
      <c r="M38" s="621"/>
      <c r="N38" s="621"/>
      <c r="O38" s="621"/>
      <c r="P38" s="621"/>
      <c r="Q38" s="621"/>
      <c r="R38" s="621"/>
      <c r="S38" s="621"/>
      <c r="T38" s="621"/>
      <c r="U38" s="621"/>
      <c r="V38" s="621"/>
    </row>
    <row r="39" spans="1:22" ht="15">
      <c r="A39" s="629" t="s">
        <v>19</v>
      </c>
      <c r="B39" s="621"/>
      <c r="C39" s="621"/>
      <c r="D39" s="621"/>
      <c r="E39" s="621"/>
      <c r="F39" s="621"/>
      <c r="G39" s="621"/>
      <c r="H39" s="621"/>
      <c r="I39" s="621"/>
      <c r="J39" s="621"/>
      <c r="K39" s="621"/>
      <c r="L39" s="621"/>
      <c r="M39" s="621"/>
      <c r="N39" s="621"/>
      <c r="O39" s="621"/>
      <c r="P39" s="621"/>
      <c r="Q39" s="621"/>
      <c r="R39" s="621"/>
      <c r="S39" s="621"/>
      <c r="T39" s="621"/>
      <c r="U39" s="621"/>
      <c r="V39" s="621"/>
    </row>
    <row r="41" spans="1:22" s="15" customFormat="1" ht="12.75">
      <c r="A41" s="14" t="s">
        <v>12</v>
      </c>
      <c r="G41" s="14"/>
      <c r="H41" s="14"/>
      <c r="K41" s="14"/>
      <c r="L41" s="14"/>
      <c r="M41" s="14"/>
      <c r="N41" s="14"/>
      <c r="O41" s="14"/>
      <c r="P41" s="14"/>
      <c r="Q41" s="14"/>
      <c r="R41" s="14"/>
      <c r="S41" s="881"/>
      <c r="T41" s="881"/>
      <c r="U41" s="881"/>
      <c r="V41" s="881"/>
    </row>
    <row r="42" spans="11:22" s="15" customFormat="1" ht="12.75" customHeight="1">
      <c r="K42" s="35"/>
      <c r="L42" s="35"/>
      <c r="M42" s="35"/>
      <c r="N42" s="35"/>
      <c r="O42" s="35"/>
      <c r="P42" s="35"/>
      <c r="Q42" s="35"/>
      <c r="R42" s="611"/>
      <c r="S42" s="881" t="s">
        <v>13</v>
      </c>
      <c r="T42" s="881"/>
      <c r="U42" s="35"/>
      <c r="V42" s="35"/>
    </row>
    <row r="43" spans="11:22" s="15" customFormat="1" ht="12.75" customHeight="1">
      <c r="K43" s="35"/>
      <c r="L43" s="35"/>
      <c r="M43" s="35"/>
      <c r="N43" s="35"/>
      <c r="O43" s="35"/>
      <c r="P43" s="35"/>
      <c r="Q43" s="35"/>
      <c r="R43" s="35" t="s">
        <v>14</v>
      </c>
      <c r="S43" s="35"/>
      <c r="T43" s="35"/>
      <c r="U43" s="35"/>
      <c r="V43" s="35"/>
    </row>
    <row r="44" spans="1:22" s="15" customFormat="1" ht="12.75">
      <c r="A44" s="14"/>
      <c r="B44" s="14"/>
      <c r="K44" s="14"/>
      <c r="L44" s="14"/>
      <c r="M44" s="14"/>
      <c r="N44" s="14"/>
      <c r="O44" s="14"/>
      <c r="P44" s="14"/>
      <c r="Q44" s="35"/>
      <c r="R44" s="35" t="s">
        <v>662</v>
      </c>
      <c r="S44" s="35"/>
      <c r="T44" s="35"/>
      <c r="U44" s="35"/>
      <c r="V44" s="35"/>
    </row>
    <row r="45" spans="18:20" ht="15">
      <c r="R45" s="898" t="s">
        <v>84</v>
      </c>
      <c r="S45" s="898"/>
      <c r="T45" s="898"/>
    </row>
  </sheetData>
  <sheetProtection/>
  <mergeCells count="23">
    <mergeCell ref="R45:T45"/>
    <mergeCell ref="O9:O10"/>
    <mergeCell ref="P9:R9"/>
    <mergeCell ref="S9:S10"/>
    <mergeCell ref="T9:V9"/>
    <mergeCell ref="S41:V41"/>
    <mergeCell ref="S42:T42"/>
    <mergeCell ref="S8:V8"/>
    <mergeCell ref="C9:C10"/>
    <mergeCell ref="D9:F9"/>
    <mergeCell ref="G9:G10"/>
    <mergeCell ref="H9:J9"/>
    <mergeCell ref="K9:K10"/>
    <mergeCell ref="L9:N9"/>
    <mergeCell ref="U1:V1"/>
    <mergeCell ref="E2:P2"/>
    <mergeCell ref="C4:Q4"/>
    <mergeCell ref="A8:A10"/>
    <mergeCell ref="B8:B10"/>
    <mergeCell ref="C8:F8"/>
    <mergeCell ref="G8:J8"/>
    <mergeCell ref="K8:N8"/>
    <mergeCell ref="O8:R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7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Q46"/>
  <sheetViews>
    <sheetView view="pageBreakPreview" zoomScale="76" zoomScaleSheetLayoutView="76" zoomScalePageLayoutView="0" workbookViewId="0" topLeftCell="C13">
      <selection activeCell="L7" sqref="L7:L9"/>
    </sheetView>
  </sheetViews>
  <sheetFormatPr defaultColWidth="8.8515625" defaultRowHeight="12.75"/>
  <cols>
    <col min="1" max="1" width="8.140625" style="73" customWidth="1"/>
    <col min="2" max="2" width="17.7109375" style="73" customWidth="1"/>
    <col min="3" max="3" width="12.140625" style="73" customWidth="1"/>
    <col min="4" max="4" width="11.7109375" style="73" customWidth="1"/>
    <col min="5" max="5" width="12.00390625" style="73" customWidth="1"/>
    <col min="6" max="6" width="18.140625" style="73" customWidth="1"/>
    <col min="7" max="7" width="15.140625" style="73" customWidth="1"/>
    <col min="8" max="8" width="14.421875" style="73" customWidth="1"/>
    <col min="9" max="9" width="14.8515625" style="73" customWidth="1"/>
    <col min="10" max="10" width="16.00390625" style="73" customWidth="1"/>
    <col min="11" max="11" width="12.7109375" style="73" customWidth="1"/>
    <col min="12" max="12" width="16.28125" style="73" customWidth="1"/>
    <col min="13" max="13" width="8.8515625" style="73" customWidth="1"/>
    <col min="14" max="14" width="11.421875" style="73" bestFit="1" customWidth="1"/>
    <col min="15" max="16384" width="8.8515625" style="73" customWidth="1"/>
  </cols>
  <sheetData>
    <row r="1" spans="2:12" ht="15">
      <c r="B1" s="15"/>
      <c r="C1" s="15"/>
      <c r="D1" s="15"/>
      <c r="E1" s="15"/>
      <c r="F1" s="1"/>
      <c r="G1" s="1"/>
      <c r="H1" s="15"/>
      <c r="J1" s="40"/>
      <c r="K1" s="1000" t="s">
        <v>774</v>
      </c>
      <c r="L1" s="1000"/>
    </row>
    <row r="2" spans="2:10" ht="15.75">
      <c r="B2" s="901" t="s">
        <v>0</v>
      </c>
      <c r="C2" s="901"/>
      <c r="D2" s="901"/>
      <c r="E2" s="901"/>
      <c r="F2" s="901"/>
      <c r="G2" s="901"/>
      <c r="H2" s="901"/>
      <c r="I2" s="901"/>
      <c r="J2" s="901"/>
    </row>
    <row r="3" spans="2:10" ht="20.25">
      <c r="B3" s="902" t="s">
        <v>859</v>
      </c>
      <c r="C3" s="902"/>
      <c r="D3" s="902"/>
      <c r="E3" s="902"/>
      <c r="F3" s="902"/>
      <c r="G3" s="902"/>
      <c r="H3" s="902"/>
      <c r="I3" s="902"/>
      <c r="J3" s="902"/>
    </row>
    <row r="4" spans="2:10" ht="20.25">
      <c r="B4" s="121"/>
      <c r="C4" s="121"/>
      <c r="D4" s="121"/>
      <c r="E4" s="121"/>
      <c r="F4" s="121"/>
      <c r="G4" s="121"/>
      <c r="H4" s="121"/>
      <c r="I4" s="121"/>
      <c r="J4" s="121"/>
    </row>
    <row r="5" spans="2:12" ht="15" customHeight="1">
      <c r="B5" s="1236" t="s">
        <v>1028</v>
      </c>
      <c r="C5" s="1236"/>
      <c r="D5" s="1236"/>
      <c r="E5" s="1236"/>
      <c r="F5" s="1236"/>
      <c r="G5" s="1236"/>
      <c r="H5" s="1236"/>
      <c r="I5" s="1236"/>
      <c r="J5" s="1236"/>
      <c r="K5" s="1236"/>
      <c r="L5" s="1236"/>
    </row>
    <row r="6" spans="1:3" ht="14.25">
      <c r="A6" s="35" t="s">
        <v>634</v>
      </c>
      <c r="B6" s="35"/>
      <c r="C6" s="31"/>
    </row>
    <row r="7" spans="1:12" ht="15" customHeight="1">
      <c r="A7" s="1225" t="s">
        <v>109</v>
      </c>
      <c r="B7" s="1189" t="s">
        <v>3</v>
      </c>
      <c r="C7" s="1232" t="s">
        <v>25</v>
      </c>
      <c r="D7" s="1232"/>
      <c r="E7" s="1232"/>
      <c r="F7" s="1232"/>
      <c r="G7" s="1233" t="s">
        <v>26</v>
      </c>
      <c r="H7" s="1234"/>
      <c r="I7" s="1234"/>
      <c r="J7" s="1235"/>
      <c r="K7" s="1189" t="s">
        <v>383</v>
      </c>
      <c r="L7" s="1194" t="s">
        <v>121</v>
      </c>
    </row>
    <row r="8" spans="1:12" ht="30.75" customHeight="1">
      <c r="A8" s="1226"/>
      <c r="B8" s="1228"/>
      <c r="C8" s="1194" t="s">
        <v>265</v>
      </c>
      <c r="D8" s="1189" t="s">
        <v>443</v>
      </c>
      <c r="E8" s="1229" t="s">
        <v>97</v>
      </c>
      <c r="F8" s="1193"/>
      <c r="G8" s="1190" t="s">
        <v>265</v>
      </c>
      <c r="H8" s="1194" t="s">
        <v>443</v>
      </c>
      <c r="I8" s="1230" t="s">
        <v>97</v>
      </c>
      <c r="J8" s="1231"/>
      <c r="K8" s="1228"/>
      <c r="L8" s="1194"/>
    </row>
    <row r="9" spans="1:13" ht="78.75" customHeight="1">
      <c r="A9" s="1227"/>
      <c r="B9" s="1190"/>
      <c r="C9" s="1194"/>
      <c r="D9" s="1190"/>
      <c r="E9" s="85" t="s">
        <v>998</v>
      </c>
      <c r="F9" s="85" t="s">
        <v>444</v>
      </c>
      <c r="G9" s="1194"/>
      <c r="H9" s="1194"/>
      <c r="I9" s="85" t="s">
        <v>998</v>
      </c>
      <c r="J9" s="85" t="s">
        <v>444</v>
      </c>
      <c r="K9" s="1190"/>
      <c r="L9" s="1194"/>
      <c r="M9" s="108"/>
    </row>
    <row r="10" spans="1:13" ht="14.25">
      <c r="A10" s="148">
        <v>1</v>
      </c>
      <c r="B10" s="147">
        <v>2</v>
      </c>
      <c r="C10" s="148">
        <v>3</v>
      </c>
      <c r="D10" s="147">
        <v>4</v>
      </c>
      <c r="E10" s="148">
        <v>5</v>
      </c>
      <c r="F10" s="147">
        <v>6</v>
      </c>
      <c r="G10" s="148">
        <v>7</v>
      </c>
      <c r="H10" s="147">
        <v>8</v>
      </c>
      <c r="I10" s="148">
        <v>9</v>
      </c>
      <c r="J10" s="147">
        <v>10</v>
      </c>
      <c r="K10" s="148">
        <v>11</v>
      </c>
      <c r="L10" s="147">
        <v>12</v>
      </c>
      <c r="M10" s="108"/>
    </row>
    <row r="11" spans="1:13" ht="20.25" customHeight="1">
      <c r="A11" s="262">
        <v>1</v>
      </c>
      <c r="B11" s="682" t="s">
        <v>841</v>
      </c>
      <c r="C11" s="789">
        <f>'AT 4 enrolment vs availed_PY'!G11</f>
        <v>64250</v>
      </c>
      <c r="D11" s="790">
        <f>'AT-8_Hon_CCH_Pry'!C14</f>
        <v>2445</v>
      </c>
      <c r="E11" s="313">
        <f>'AT-8_Hon_CCH_Pry'!D39</f>
        <v>950</v>
      </c>
      <c r="F11" s="790">
        <v>0</v>
      </c>
      <c r="G11" s="789">
        <f>'AT 4A enrolment vs availed_UPY'!G36</f>
        <v>11368</v>
      </c>
      <c r="H11" s="791">
        <v>239</v>
      </c>
      <c r="I11" s="789">
        <f>'AT-8A_Hon_CCH_UPry'!D38</f>
        <v>314</v>
      </c>
      <c r="J11" s="790">
        <v>0</v>
      </c>
      <c r="K11" s="789">
        <f aca="true" t="shared" si="0" ref="K11:K37">D11+H11</f>
        <v>2684</v>
      </c>
      <c r="L11" s="792">
        <f aca="true" t="shared" si="1" ref="L11:L37">K11*1200*10/100000</f>
        <v>322.08</v>
      </c>
      <c r="M11" s="108"/>
    </row>
    <row r="12" spans="1:13" ht="20.25" customHeight="1">
      <c r="A12" s="260">
        <v>2</v>
      </c>
      <c r="B12" s="682" t="s">
        <v>833</v>
      </c>
      <c r="C12" s="789">
        <f>'AT 4 enrolment vs availed_PY'!G12</f>
        <v>74853</v>
      </c>
      <c r="D12" s="790">
        <f>'AT-8_Hon_CCH_Pry'!C15</f>
        <v>2678</v>
      </c>
      <c r="E12" s="313">
        <f>'AT-8_Hon_CCH_Pry'!D16</f>
        <v>2226</v>
      </c>
      <c r="F12" s="790">
        <v>0</v>
      </c>
      <c r="G12" s="789">
        <f>'AT 4A enrolment vs availed_UPY'!G13</f>
        <v>36625</v>
      </c>
      <c r="H12" s="271">
        <v>1208</v>
      </c>
      <c r="I12" s="789">
        <f>'AT-8A_Hon_CCH_UPry'!D15</f>
        <v>1077</v>
      </c>
      <c r="J12" s="790">
        <v>0</v>
      </c>
      <c r="K12" s="789">
        <f t="shared" si="0"/>
        <v>3886</v>
      </c>
      <c r="L12" s="792">
        <f t="shared" si="1"/>
        <v>466.32</v>
      </c>
      <c r="M12" s="108"/>
    </row>
    <row r="13" spans="1:13" ht="20.25" customHeight="1">
      <c r="A13" s="260">
        <v>3</v>
      </c>
      <c r="B13" s="682" t="s">
        <v>839</v>
      </c>
      <c r="C13" s="789">
        <f>'AT 4 enrolment vs availed_PY'!G13</f>
        <v>60395</v>
      </c>
      <c r="D13" s="790">
        <f>'AT-8_Hon_CCH_Pry'!C16</f>
        <v>2288</v>
      </c>
      <c r="E13" s="313">
        <f>'AT-8_Hon_CCH_Pry'!D40</f>
        <v>1714</v>
      </c>
      <c r="F13" s="790">
        <v>0</v>
      </c>
      <c r="G13" s="789">
        <f>'AT 4A enrolment vs availed_UPY'!G37</f>
        <v>39604</v>
      </c>
      <c r="H13" s="791">
        <v>1177</v>
      </c>
      <c r="I13" s="789">
        <f>'AT-8A_Hon_CCH_UPry'!D39</f>
        <v>762</v>
      </c>
      <c r="J13" s="790">
        <v>0</v>
      </c>
      <c r="K13" s="789">
        <f t="shared" si="0"/>
        <v>3465</v>
      </c>
      <c r="L13" s="792">
        <f t="shared" si="1"/>
        <v>415.8</v>
      </c>
      <c r="M13" s="108"/>
    </row>
    <row r="14" spans="1:13" ht="20.25" customHeight="1">
      <c r="A14" s="260">
        <v>4</v>
      </c>
      <c r="B14" s="682" t="s">
        <v>743</v>
      </c>
      <c r="C14" s="789">
        <f>'AT 4 enrolment vs availed_PY'!G14</f>
        <v>150666</v>
      </c>
      <c r="D14" s="790">
        <f>'AT-8_Hon_CCH_Pry'!C17</f>
        <v>4367</v>
      </c>
      <c r="E14" s="313">
        <f>'AT-8_Hon_CCH_Pry'!D20</f>
        <v>1313</v>
      </c>
      <c r="F14" s="790">
        <v>0</v>
      </c>
      <c r="G14" s="789">
        <f>'AT 4A enrolment vs availed_UPY'!G17</f>
        <v>47262</v>
      </c>
      <c r="H14" s="271">
        <v>2247</v>
      </c>
      <c r="I14" s="789">
        <f>'AT-8A_Hon_CCH_UPry'!D19</f>
        <v>986</v>
      </c>
      <c r="J14" s="790">
        <v>0</v>
      </c>
      <c r="K14" s="789">
        <f t="shared" si="0"/>
        <v>6614</v>
      </c>
      <c r="L14" s="792">
        <f t="shared" si="1"/>
        <v>793.68</v>
      </c>
      <c r="M14" s="108"/>
    </row>
    <row r="15" spans="1:13" ht="20.25" customHeight="1">
      <c r="A15" s="260">
        <v>5</v>
      </c>
      <c r="B15" s="682" t="s">
        <v>748</v>
      </c>
      <c r="C15" s="789">
        <f>'AT 4 enrolment vs availed_PY'!G15</f>
        <v>88753</v>
      </c>
      <c r="D15" s="790">
        <f>'AT-8_Hon_CCH_Pry'!C18</f>
        <v>3801</v>
      </c>
      <c r="E15" s="313">
        <f>'AT-8_Hon_CCH_Pry'!D35</f>
        <v>2460</v>
      </c>
      <c r="F15" s="790">
        <v>0</v>
      </c>
      <c r="G15" s="789">
        <f>'AT 4A enrolment vs availed_UPY'!G32</f>
        <v>56179</v>
      </c>
      <c r="H15" s="791">
        <v>2004</v>
      </c>
      <c r="I15" s="789">
        <f>'AT-8A_Hon_CCH_UPry'!D34</f>
        <v>1253</v>
      </c>
      <c r="J15" s="790">
        <v>0</v>
      </c>
      <c r="K15" s="789">
        <f t="shared" si="0"/>
        <v>5805</v>
      </c>
      <c r="L15" s="792">
        <f t="shared" si="1"/>
        <v>696.6</v>
      </c>
      <c r="M15" s="108"/>
    </row>
    <row r="16" spans="1:13" ht="20.25" customHeight="1">
      <c r="A16" s="260">
        <v>6</v>
      </c>
      <c r="B16" s="682" t="s">
        <v>747</v>
      </c>
      <c r="C16" s="789">
        <f>'AT 4 enrolment vs availed_PY'!G16</f>
        <v>114062</v>
      </c>
      <c r="D16" s="790">
        <f>'AT-8_Hon_CCH_Pry'!C19</f>
        <v>3433</v>
      </c>
      <c r="E16" s="313">
        <f>'AT-8_Hon_CCH_Pry'!D37</f>
        <v>2413</v>
      </c>
      <c r="F16" s="790">
        <v>0</v>
      </c>
      <c r="G16" s="789">
        <f>'AT 4A enrolment vs availed_UPY'!G34</f>
        <v>36012</v>
      </c>
      <c r="H16" s="791">
        <v>2005</v>
      </c>
      <c r="I16" s="789">
        <f>'AT-8A_Hon_CCH_UPry'!D36</f>
        <v>1217</v>
      </c>
      <c r="J16" s="790">
        <v>0</v>
      </c>
      <c r="K16" s="789">
        <f t="shared" si="0"/>
        <v>5438</v>
      </c>
      <c r="L16" s="792">
        <f t="shared" si="1"/>
        <v>652.56</v>
      </c>
      <c r="M16" s="108"/>
    </row>
    <row r="17" spans="1:13" ht="20.25" customHeight="1">
      <c r="A17" s="260">
        <v>7</v>
      </c>
      <c r="B17" s="682" t="s">
        <v>737</v>
      </c>
      <c r="C17" s="789">
        <f>'AT 4 enrolment vs availed_PY'!G17</f>
        <v>65462</v>
      </c>
      <c r="D17" s="790">
        <f>'AT-8_Hon_CCH_Pry'!C20</f>
        <v>1549</v>
      </c>
      <c r="E17" s="313">
        <f>'AT-8_Hon_CCH_Pry'!D23</f>
        <v>718</v>
      </c>
      <c r="F17" s="790">
        <v>0</v>
      </c>
      <c r="G17" s="789">
        <f>'AT 4A enrolment vs availed_UPY'!G20</f>
        <v>7012</v>
      </c>
      <c r="H17" s="271">
        <v>1011</v>
      </c>
      <c r="I17" s="789">
        <f>'AT-8A_Hon_CCH_UPry'!D22</f>
        <v>200</v>
      </c>
      <c r="J17" s="790">
        <v>0</v>
      </c>
      <c r="K17" s="789">
        <f t="shared" si="0"/>
        <v>2560</v>
      </c>
      <c r="L17" s="792">
        <f t="shared" si="1"/>
        <v>307.2</v>
      </c>
      <c r="M17" s="108"/>
    </row>
    <row r="18" spans="1:13" ht="20.25" customHeight="1">
      <c r="A18" s="260">
        <v>8</v>
      </c>
      <c r="B18" s="682" t="s">
        <v>749</v>
      </c>
      <c r="C18" s="789">
        <f>'AT 4 enrolment vs availed_PY'!G18</f>
        <v>104459</v>
      </c>
      <c r="D18" s="790">
        <f>'AT-8_Hon_CCH_Pry'!C21</f>
        <v>2251</v>
      </c>
      <c r="E18" s="313">
        <f>'AT-8_Hon_CCH_Pry'!D36</f>
        <v>1765</v>
      </c>
      <c r="F18" s="790">
        <v>0</v>
      </c>
      <c r="G18" s="789">
        <f>'AT 4A enrolment vs availed_UPY'!G33</f>
        <v>33370</v>
      </c>
      <c r="H18" s="791">
        <v>1488</v>
      </c>
      <c r="I18" s="789">
        <f>'AT-8A_Hon_CCH_UPry'!D35</f>
        <v>919</v>
      </c>
      <c r="J18" s="790">
        <v>0</v>
      </c>
      <c r="K18" s="789">
        <f t="shared" si="0"/>
        <v>3739</v>
      </c>
      <c r="L18" s="792">
        <f t="shared" si="1"/>
        <v>448.68</v>
      </c>
      <c r="M18" s="108"/>
    </row>
    <row r="19" spans="1:13" ht="20.25" customHeight="1">
      <c r="A19" s="260">
        <v>9</v>
      </c>
      <c r="B19" s="682" t="s">
        <v>834</v>
      </c>
      <c r="C19" s="789">
        <f>'AT 4 enrolment vs availed_PY'!G19</f>
        <v>70013</v>
      </c>
      <c r="D19" s="790">
        <f>'AT-8_Hon_CCH_Pry'!C22</f>
        <v>3011</v>
      </c>
      <c r="E19" s="313">
        <f>'AT-8_Hon_CCH_Pry'!D17</f>
        <v>4005</v>
      </c>
      <c r="F19" s="790">
        <v>0</v>
      </c>
      <c r="G19" s="789">
        <f>'AT 4A enrolment vs availed_UPY'!G14</f>
        <v>96878</v>
      </c>
      <c r="H19" s="271">
        <v>1291</v>
      </c>
      <c r="I19" s="789">
        <f>'AT-8A_Hon_CCH_UPry'!D16</f>
        <v>2191</v>
      </c>
      <c r="J19" s="790">
        <v>0</v>
      </c>
      <c r="K19" s="789">
        <f t="shared" si="0"/>
        <v>4302</v>
      </c>
      <c r="L19" s="792">
        <f t="shared" si="1"/>
        <v>516.24</v>
      </c>
      <c r="M19" s="108"/>
    </row>
    <row r="20" spans="1:13" ht="20.25" customHeight="1">
      <c r="A20" s="260">
        <v>10</v>
      </c>
      <c r="B20" s="682" t="s">
        <v>739</v>
      </c>
      <c r="C20" s="789">
        <f>'AT 4 enrolment vs availed_PY'!G20</f>
        <v>15744</v>
      </c>
      <c r="D20" s="790">
        <f>'AT-8_Hon_CCH_Pry'!C23</f>
        <v>725</v>
      </c>
      <c r="E20" s="313">
        <f>'AT-8_Hon_CCH_Pry'!D34</f>
        <v>2033</v>
      </c>
      <c r="F20" s="790">
        <v>0</v>
      </c>
      <c r="G20" s="789">
        <f>'AT 4A enrolment vs availed_UPY'!G31</f>
        <v>49482</v>
      </c>
      <c r="H20" s="791">
        <v>205</v>
      </c>
      <c r="I20" s="789">
        <f>'AT-8A_Hon_CCH_UPry'!D33</f>
        <v>1213</v>
      </c>
      <c r="J20" s="790">
        <v>0</v>
      </c>
      <c r="K20" s="789">
        <f t="shared" si="0"/>
        <v>930</v>
      </c>
      <c r="L20" s="792">
        <f t="shared" si="1"/>
        <v>111.6</v>
      </c>
      <c r="M20" s="108"/>
    </row>
    <row r="21" spans="1:13" ht="20.25" customHeight="1">
      <c r="A21" s="260">
        <v>11</v>
      </c>
      <c r="B21" s="682" t="s">
        <v>840</v>
      </c>
      <c r="C21" s="789">
        <f>'AT 4 enrolment vs availed_PY'!G21</f>
        <v>27215</v>
      </c>
      <c r="D21" s="790">
        <f>'AT-8_Hon_CCH_Pry'!C24</f>
        <v>1003</v>
      </c>
      <c r="E21" s="313">
        <f>'AT-8_Hon_CCH_Pry'!D38</f>
        <v>960</v>
      </c>
      <c r="F21" s="790">
        <v>0</v>
      </c>
      <c r="G21" s="789">
        <f>'AT 4A enrolment vs availed_UPY'!G35</f>
        <v>10989</v>
      </c>
      <c r="H21" s="791">
        <v>1104</v>
      </c>
      <c r="I21" s="789">
        <f>'AT-8A_Hon_CCH_UPry'!D37</f>
        <v>335</v>
      </c>
      <c r="J21" s="790">
        <v>0</v>
      </c>
      <c r="K21" s="789">
        <f t="shared" si="0"/>
        <v>2107</v>
      </c>
      <c r="L21" s="792">
        <f t="shared" si="1"/>
        <v>252.84</v>
      </c>
      <c r="M21" s="108"/>
    </row>
    <row r="22" spans="1:17" s="107" customFormat="1" ht="20.25" customHeight="1">
      <c r="A22" s="260">
        <v>12</v>
      </c>
      <c r="B22" s="682" t="s">
        <v>837</v>
      </c>
      <c r="C22" s="789">
        <f>'AT 4 enrolment vs availed_PY'!G22</f>
        <v>54300</v>
      </c>
      <c r="D22" s="790">
        <f>'AT-8_Hon_CCH_Pry'!C25</f>
        <v>2109</v>
      </c>
      <c r="E22" s="313">
        <f>'AT-8_Hon_CCH_Pry'!D29</f>
        <v>2918</v>
      </c>
      <c r="F22" s="790">
        <v>0</v>
      </c>
      <c r="G22" s="789">
        <f>'AT 4A enrolment vs availed_UPY'!G26</f>
        <v>75027</v>
      </c>
      <c r="H22" s="791">
        <v>1194</v>
      </c>
      <c r="I22" s="789">
        <f>'AT-8A_Hon_CCH_UPry'!D28</f>
        <v>1692</v>
      </c>
      <c r="J22" s="790">
        <v>0</v>
      </c>
      <c r="K22" s="789">
        <f t="shared" si="0"/>
        <v>3303</v>
      </c>
      <c r="L22" s="792">
        <f t="shared" si="1"/>
        <v>396.36</v>
      </c>
      <c r="M22" s="108"/>
      <c r="N22" s="108"/>
      <c r="O22" s="108"/>
      <c r="P22" s="108"/>
      <c r="Q22" s="108"/>
    </row>
    <row r="23" spans="1:13" ht="20.25" customHeight="1">
      <c r="A23" s="260">
        <v>13</v>
      </c>
      <c r="B23" s="682" t="s">
        <v>831</v>
      </c>
      <c r="C23" s="789">
        <f>'AT 4 enrolment vs availed_PY'!G23</f>
        <v>50131</v>
      </c>
      <c r="D23" s="790">
        <f>'AT-8_Hon_CCH_Pry'!C26</f>
        <v>1754</v>
      </c>
      <c r="E23" s="313">
        <f>'AT-8_Hon_CCH_Pry'!D14</f>
        <v>2483</v>
      </c>
      <c r="F23" s="790">
        <v>0</v>
      </c>
      <c r="G23" s="789">
        <f>'AT 4A enrolment vs availed_UPY'!G11</f>
        <v>37974</v>
      </c>
      <c r="H23" s="326">
        <v>990</v>
      </c>
      <c r="I23" s="789">
        <f>'AT-8A_Hon_CCH_UPry'!D13</f>
        <v>1148</v>
      </c>
      <c r="J23" s="790">
        <v>0</v>
      </c>
      <c r="K23" s="789">
        <f t="shared" si="0"/>
        <v>2744</v>
      </c>
      <c r="L23" s="792">
        <f t="shared" si="1"/>
        <v>329.28</v>
      </c>
      <c r="M23" s="108"/>
    </row>
    <row r="24" spans="1:13" ht="20.25" customHeight="1">
      <c r="A24" s="260">
        <v>14</v>
      </c>
      <c r="B24" s="682" t="s">
        <v>740</v>
      </c>
      <c r="C24" s="789">
        <f>'AT 4 enrolment vs availed_PY'!G24</f>
        <v>74667</v>
      </c>
      <c r="D24" s="790">
        <f>'AT-8_Hon_CCH_Pry'!C27</f>
        <v>1876</v>
      </c>
      <c r="E24" s="313">
        <f>'AT-8_Hon_CCH_Pry'!D18</f>
        <v>3759</v>
      </c>
      <c r="F24" s="790">
        <v>0</v>
      </c>
      <c r="G24" s="789">
        <f>'AT 4A enrolment vs availed_UPY'!G15</f>
        <v>60159</v>
      </c>
      <c r="H24" s="271">
        <v>1088</v>
      </c>
      <c r="I24" s="789">
        <f>'AT-8A_Hon_CCH_UPry'!D17</f>
        <v>1954</v>
      </c>
      <c r="J24" s="790">
        <v>0</v>
      </c>
      <c r="K24" s="789">
        <f t="shared" si="0"/>
        <v>2964</v>
      </c>
      <c r="L24" s="792">
        <f t="shared" si="1"/>
        <v>355.68</v>
      </c>
      <c r="M24" s="108"/>
    </row>
    <row r="25" spans="1:12" ht="20.25" customHeight="1">
      <c r="A25" s="260">
        <v>15</v>
      </c>
      <c r="B25" s="682" t="s">
        <v>835</v>
      </c>
      <c r="C25" s="789">
        <f>'AT 4 enrolment vs availed_PY'!G25</f>
        <v>50478</v>
      </c>
      <c r="D25" s="790">
        <f>'AT-8_Hon_CCH_Pry'!C28</f>
        <v>1875</v>
      </c>
      <c r="E25" s="313">
        <f>'AT-8_Hon_CCH_Pry'!D24</f>
        <v>1026</v>
      </c>
      <c r="F25" s="790">
        <v>0</v>
      </c>
      <c r="G25" s="789">
        <f>'AT 4A enrolment vs availed_UPY'!G21</f>
        <v>8544</v>
      </c>
      <c r="H25" s="271">
        <v>931</v>
      </c>
      <c r="I25" s="789">
        <f>'AT-8A_Hon_CCH_UPry'!D23</f>
        <v>233</v>
      </c>
      <c r="J25" s="790">
        <v>0</v>
      </c>
      <c r="K25" s="789">
        <f t="shared" si="0"/>
        <v>2806</v>
      </c>
      <c r="L25" s="792">
        <f t="shared" si="1"/>
        <v>336.72</v>
      </c>
    </row>
    <row r="26" spans="1:12" ht="20.25" customHeight="1">
      <c r="A26" s="260">
        <v>16</v>
      </c>
      <c r="B26" s="682" t="s">
        <v>832</v>
      </c>
      <c r="C26" s="789">
        <f>'AT 4 enrolment vs availed_PY'!G26</f>
        <v>116232</v>
      </c>
      <c r="D26" s="790">
        <f>'AT-8_Hon_CCH_Pry'!C29</f>
        <v>2932</v>
      </c>
      <c r="E26" s="313">
        <f>'AT-8_Hon_CCH_Pry'!D15</f>
        <v>2482</v>
      </c>
      <c r="F26" s="790">
        <v>0</v>
      </c>
      <c r="G26" s="789">
        <f>'AT 4A enrolment vs availed_UPY'!G12</f>
        <v>41080</v>
      </c>
      <c r="H26" s="271">
        <v>1735</v>
      </c>
      <c r="I26" s="789">
        <f>'AT-8A_Hon_CCH_UPry'!D14</f>
        <v>1178</v>
      </c>
      <c r="J26" s="790">
        <v>0</v>
      </c>
      <c r="K26" s="789">
        <f t="shared" si="0"/>
        <v>4667</v>
      </c>
      <c r="L26" s="792">
        <f t="shared" si="1"/>
        <v>560.04</v>
      </c>
    </row>
    <row r="27" spans="1:12" ht="20.25" customHeight="1">
      <c r="A27" s="260">
        <v>17</v>
      </c>
      <c r="B27" s="682" t="s">
        <v>733</v>
      </c>
      <c r="C27" s="789">
        <f>'AT 4 enrolment vs availed_PY'!G27</f>
        <v>42850</v>
      </c>
      <c r="D27" s="790">
        <f>'AT-8_Hon_CCH_Pry'!C30</f>
        <v>1541</v>
      </c>
      <c r="E27" s="313">
        <f>'AT-8_Hon_CCH_Pry'!D31</f>
        <v>3225</v>
      </c>
      <c r="F27" s="790">
        <v>0</v>
      </c>
      <c r="G27" s="789">
        <f>'AT 4A enrolment vs availed_UPY'!G28</f>
        <v>74184</v>
      </c>
      <c r="H27" s="791">
        <v>830</v>
      </c>
      <c r="I27" s="789">
        <f>'AT-8A_Hon_CCH_UPry'!D30</f>
        <v>1741</v>
      </c>
      <c r="J27" s="790">
        <v>0</v>
      </c>
      <c r="K27" s="789">
        <f t="shared" si="0"/>
        <v>2371</v>
      </c>
      <c r="L27" s="792">
        <f t="shared" si="1"/>
        <v>284.52</v>
      </c>
    </row>
    <row r="28" spans="1:12" ht="20.25" customHeight="1">
      <c r="A28" s="260">
        <v>18</v>
      </c>
      <c r="B28" s="682" t="s">
        <v>735</v>
      </c>
      <c r="C28" s="789">
        <f>'AT 4 enrolment vs availed_PY'!G28</f>
        <v>112461</v>
      </c>
      <c r="D28" s="790">
        <f>'AT-8_Hon_CCH_Pry'!C31</f>
        <v>3487</v>
      </c>
      <c r="E28" s="313">
        <f>'AT-8_Hon_CCH_Pry'!D25</f>
        <v>2142</v>
      </c>
      <c r="F28" s="790">
        <v>0</v>
      </c>
      <c r="G28" s="789">
        <f>'AT 4A enrolment vs availed_UPY'!G22</f>
        <v>31676</v>
      </c>
      <c r="H28" s="791">
        <v>1888</v>
      </c>
      <c r="I28" s="789">
        <f>'AT-8A_Hon_CCH_UPry'!D24</f>
        <v>1164</v>
      </c>
      <c r="J28" s="790">
        <v>0</v>
      </c>
      <c r="K28" s="789">
        <f t="shared" si="0"/>
        <v>5375</v>
      </c>
      <c r="L28" s="792">
        <f t="shared" si="1"/>
        <v>645</v>
      </c>
    </row>
    <row r="29" spans="1:12" ht="20.25" customHeight="1">
      <c r="A29" s="260">
        <v>19</v>
      </c>
      <c r="B29" s="682" t="s">
        <v>732</v>
      </c>
      <c r="C29" s="789">
        <f>'AT 4 enrolment vs availed_PY'!G29</f>
        <v>77284</v>
      </c>
      <c r="D29" s="790">
        <f>'AT-8_Hon_CCH_Pry'!C32</f>
        <v>2957</v>
      </c>
      <c r="E29" s="313">
        <f>'AT-8_Hon_CCH_Pry'!D30</f>
        <v>1541</v>
      </c>
      <c r="F29" s="790">
        <v>0</v>
      </c>
      <c r="G29" s="789">
        <f>'AT 4A enrolment vs availed_UPY'!G27</f>
        <v>28048</v>
      </c>
      <c r="H29" s="791">
        <v>1352</v>
      </c>
      <c r="I29" s="789">
        <f>'AT-8A_Hon_CCH_UPry'!D29</f>
        <v>809</v>
      </c>
      <c r="J29" s="790">
        <v>0</v>
      </c>
      <c r="K29" s="789">
        <f t="shared" si="0"/>
        <v>4309</v>
      </c>
      <c r="L29" s="792">
        <f t="shared" si="1"/>
        <v>517.08</v>
      </c>
    </row>
    <row r="30" spans="1:12" ht="20.25" customHeight="1">
      <c r="A30" s="260">
        <v>20</v>
      </c>
      <c r="B30" s="682" t="s">
        <v>836</v>
      </c>
      <c r="C30" s="789">
        <f>'AT 4 enrolment vs availed_PY'!G30</f>
        <v>67599</v>
      </c>
      <c r="D30" s="790">
        <f>'AT-8_Hon_CCH_Pry'!C33</f>
        <v>2847</v>
      </c>
      <c r="E30" s="313">
        <f>'AT-8_Hon_CCH_Pry'!D26</f>
        <v>1665</v>
      </c>
      <c r="F30" s="790">
        <v>0</v>
      </c>
      <c r="G30" s="789">
        <f>'AT 4A enrolment vs availed_UPY'!G23</f>
        <v>33463</v>
      </c>
      <c r="H30" s="791">
        <v>1108</v>
      </c>
      <c r="I30" s="789">
        <f>'AT-8A_Hon_CCH_UPry'!D25</f>
        <v>965</v>
      </c>
      <c r="J30" s="790">
        <v>0</v>
      </c>
      <c r="K30" s="789">
        <f t="shared" si="0"/>
        <v>3955</v>
      </c>
      <c r="L30" s="792">
        <f t="shared" si="1"/>
        <v>474.6</v>
      </c>
    </row>
    <row r="31" spans="1:12" ht="20.25" customHeight="1">
      <c r="A31" s="260">
        <v>21</v>
      </c>
      <c r="B31" s="682" t="s">
        <v>729</v>
      </c>
      <c r="C31" s="789">
        <f>'AT 4 enrolment vs availed_PY'!G31</f>
        <v>80414</v>
      </c>
      <c r="D31" s="790">
        <f>'AT-8_Hon_CCH_Pry'!C34</f>
        <v>2290</v>
      </c>
      <c r="E31" s="313">
        <f>'AT-8_Hon_CCH_Pry'!D28</f>
        <v>1682</v>
      </c>
      <c r="F31" s="790">
        <v>0</v>
      </c>
      <c r="G31" s="789">
        <f>'AT 4A enrolment vs availed_UPY'!G25</f>
        <v>30817</v>
      </c>
      <c r="H31" s="791">
        <v>1244</v>
      </c>
      <c r="I31" s="789">
        <f>'AT-8A_Hon_CCH_UPry'!D27</f>
        <v>908</v>
      </c>
      <c r="J31" s="790">
        <v>0</v>
      </c>
      <c r="K31" s="789">
        <f t="shared" si="0"/>
        <v>3534</v>
      </c>
      <c r="L31" s="792">
        <f t="shared" si="1"/>
        <v>424.08</v>
      </c>
    </row>
    <row r="32" spans="1:12" ht="20.25" customHeight="1">
      <c r="A32" s="260">
        <v>22</v>
      </c>
      <c r="B32" s="682" t="s">
        <v>746</v>
      </c>
      <c r="C32" s="789">
        <f>'AT 4 enrolment vs availed_PY'!G32</f>
        <v>80685</v>
      </c>
      <c r="D32" s="790">
        <f>'AT-8_Hon_CCH_Pry'!C35</f>
        <v>2655</v>
      </c>
      <c r="E32" s="313">
        <f>'AT-8_Hon_CCH_Pry'!D32</f>
        <v>2939</v>
      </c>
      <c r="F32" s="790">
        <v>0</v>
      </c>
      <c r="G32" s="789">
        <f>'AT 4A enrolment vs availed_UPY'!G29</f>
        <v>50247</v>
      </c>
      <c r="H32" s="791">
        <v>1285</v>
      </c>
      <c r="I32" s="789">
        <f>'AT-8A_Hon_CCH_UPry'!D31</f>
        <v>1319</v>
      </c>
      <c r="J32" s="790">
        <v>0</v>
      </c>
      <c r="K32" s="789">
        <f t="shared" si="0"/>
        <v>3940</v>
      </c>
      <c r="L32" s="792">
        <f t="shared" si="1"/>
        <v>472.8</v>
      </c>
    </row>
    <row r="33" spans="1:12" ht="20.25" customHeight="1">
      <c r="A33" s="260">
        <v>23</v>
      </c>
      <c r="B33" s="682" t="s">
        <v>738</v>
      </c>
      <c r="C33" s="789">
        <f>'AT 4 enrolment vs availed_PY'!G33</f>
        <v>48411</v>
      </c>
      <c r="D33" s="790">
        <f>'AT-8_Hon_CCH_Pry'!C36</f>
        <v>1763</v>
      </c>
      <c r="E33" s="313">
        <f>'AT-8_Hon_CCH_Pry'!D22</f>
        <v>2830</v>
      </c>
      <c r="F33" s="790">
        <v>0</v>
      </c>
      <c r="G33" s="789">
        <f>'AT 4A enrolment vs availed_UPY'!G19</f>
        <v>38523</v>
      </c>
      <c r="H33" s="271">
        <v>1045</v>
      </c>
      <c r="I33" s="789">
        <f>'AT-8A_Hon_CCH_UPry'!D21</f>
        <v>1259</v>
      </c>
      <c r="J33" s="790">
        <v>0</v>
      </c>
      <c r="K33" s="789">
        <f t="shared" si="0"/>
        <v>2808</v>
      </c>
      <c r="L33" s="792">
        <f t="shared" si="1"/>
        <v>336.96</v>
      </c>
    </row>
    <row r="34" spans="1:12" ht="20.25" customHeight="1">
      <c r="A34" s="260">
        <v>24</v>
      </c>
      <c r="B34" s="682" t="s">
        <v>730</v>
      </c>
      <c r="C34" s="789">
        <f>'AT 4 enrolment vs availed_PY'!G34</f>
        <v>54478</v>
      </c>
      <c r="D34" s="790">
        <f>'AT-8_Hon_CCH_Pry'!C37</f>
        <v>2589</v>
      </c>
      <c r="E34" s="313">
        <f>'AT-8_Hon_CCH_Pry'!D27</f>
        <v>1707</v>
      </c>
      <c r="F34" s="790">
        <v>0</v>
      </c>
      <c r="G34" s="789">
        <f>'AT 4A enrolment vs availed_UPY'!G24</f>
        <v>48948</v>
      </c>
      <c r="H34" s="791">
        <v>1248</v>
      </c>
      <c r="I34" s="789">
        <f>'AT-8A_Hon_CCH_UPry'!D26</f>
        <v>1061</v>
      </c>
      <c r="J34" s="790">
        <v>0</v>
      </c>
      <c r="K34" s="789">
        <f t="shared" si="0"/>
        <v>3837</v>
      </c>
      <c r="L34" s="792">
        <f t="shared" si="1"/>
        <v>460.44</v>
      </c>
    </row>
    <row r="35" spans="1:12" ht="20.25" customHeight="1">
      <c r="A35" s="260">
        <v>25</v>
      </c>
      <c r="B35" s="682" t="s">
        <v>736</v>
      </c>
      <c r="C35" s="789">
        <f>'AT 4 enrolment vs availed_PY'!G35</f>
        <v>26495</v>
      </c>
      <c r="D35" s="790">
        <f>'AT-8_Hon_CCH_Pry'!C38</f>
        <v>1054</v>
      </c>
      <c r="E35" s="313">
        <f>'AT-8_Hon_CCH_Pry'!D21</f>
        <v>1852</v>
      </c>
      <c r="F35" s="790">
        <v>0</v>
      </c>
      <c r="G35" s="789">
        <f>'AT 4A enrolment vs availed_UPY'!G18</f>
        <v>73033</v>
      </c>
      <c r="H35" s="271">
        <v>344</v>
      </c>
      <c r="I35" s="789">
        <f>'AT-8A_Hon_CCH_UPry'!D20</f>
        <v>1451</v>
      </c>
      <c r="J35" s="790">
        <v>0</v>
      </c>
      <c r="K35" s="789">
        <f t="shared" si="0"/>
        <v>1398</v>
      </c>
      <c r="L35" s="792">
        <f t="shared" si="1"/>
        <v>167.76</v>
      </c>
    </row>
    <row r="36" spans="1:12" ht="20.25" customHeight="1">
      <c r="A36" s="260">
        <v>26</v>
      </c>
      <c r="B36" s="682" t="s">
        <v>744</v>
      </c>
      <c r="C36" s="789">
        <f>'AT 4 enrolment vs availed_PY'!G36</f>
        <v>29199</v>
      </c>
      <c r="D36" s="790">
        <f>'AT-8_Hon_CCH_Pry'!C39</f>
        <v>987</v>
      </c>
      <c r="E36" s="313">
        <f>'AT-8_Hon_CCH_Pry'!D19</f>
        <v>3529</v>
      </c>
      <c r="F36" s="790">
        <v>0</v>
      </c>
      <c r="G36" s="789">
        <f>'AT 4A enrolment vs availed_UPY'!G16</f>
        <v>75046</v>
      </c>
      <c r="H36" s="271">
        <v>322</v>
      </c>
      <c r="I36" s="789">
        <f>'AT-8A_Hon_CCH_UPry'!D18</f>
        <v>1955</v>
      </c>
      <c r="J36" s="790">
        <v>0</v>
      </c>
      <c r="K36" s="789">
        <f t="shared" si="0"/>
        <v>1309</v>
      </c>
      <c r="L36" s="792">
        <f t="shared" si="1"/>
        <v>157.08</v>
      </c>
    </row>
    <row r="37" spans="1:12" ht="20.25" customHeight="1">
      <c r="A37" s="262">
        <v>27</v>
      </c>
      <c r="B37" s="682" t="s">
        <v>838</v>
      </c>
      <c r="C37" s="789">
        <f>'AT 4 enrolment vs availed_PY'!G37</f>
        <v>69126</v>
      </c>
      <c r="D37" s="790">
        <f>'AT-8_Hon_CCH_Pry'!C40</f>
        <v>1789</v>
      </c>
      <c r="E37" s="313">
        <f>'AT-8_Hon_CCH_Pry'!D33</f>
        <v>2654</v>
      </c>
      <c r="F37" s="790">
        <v>0</v>
      </c>
      <c r="G37" s="789">
        <f>'AT 4A enrolment vs availed_UPY'!G30</f>
        <v>38891</v>
      </c>
      <c r="H37" s="791">
        <v>781</v>
      </c>
      <c r="I37" s="789">
        <f>'AT-8A_Hon_CCH_UPry'!D32</f>
        <v>1052</v>
      </c>
      <c r="J37" s="790">
        <v>0</v>
      </c>
      <c r="K37" s="789">
        <f t="shared" si="0"/>
        <v>2570</v>
      </c>
      <c r="L37" s="792">
        <f t="shared" si="1"/>
        <v>308.4</v>
      </c>
    </row>
    <row r="38" spans="1:12" ht="15">
      <c r="A38" s="251" t="s">
        <v>19</v>
      </c>
      <c r="B38" s="107"/>
      <c r="C38" s="251">
        <f>SUM(C11:C37)</f>
        <v>1870682</v>
      </c>
      <c r="D38" s="251">
        <f aca="true" t="shared" si="2" ref="D38:L38">SUM(D11:D37)</f>
        <v>62056</v>
      </c>
      <c r="E38" s="251">
        <f t="shared" si="2"/>
        <v>58991</v>
      </c>
      <c r="F38" s="251">
        <f t="shared" si="2"/>
        <v>0</v>
      </c>
      <c r="G38" s="251">
        <f t="shared" si="2"/>
        <v>1170441</v>
      </c>
      <c r="H38" s="251">
        <f t="shared" si="2"/>
        <v>31364</v>
      </c>
      <c r="I38" s="251">
        <f t="shared" si="2"/>
        <v>30356</v>
      </c>
      <c r="J38" s="251">
        <f t="shared" si="2"/>
        <v>0</v>
      </c>
      <c r="K38" s="251">
        <f t="shared" si="2"/>
        <v>93420</v>
      </c>
      <c r="L38" s="347">
        <f t="shared" si="2"/>
        <v>11210.4</v>
      </c>
    </row>
    <row r="39" spans="1:12" ht="20.25" customHeight="1">
      <c r="A39" s="1222" t="s">
        <v>122</v>
      </c>
      <c r="B39" s="1223"/>
      <c r="C39" s="1223"/>
      <c r="D39" s="1223"/>
      <c r="E39" s="1223"/>
      <c r="F39" s="1223"/>
      <c r="G39" s="1223"/>
      <c r="H39" s="1223"/>
      <c r="I39" s="1223"/>
      <c r="J39" s="1223"/>
      <c r="K39" s="1224"/>
      <c r="L39" s="1224"/>
    </row>
    <row r="40" spans="1:12" ht="20.25" customHeight="1">
      <c r="A40" s="473"/>
      <c r="B40" s="474"/>
      <c r="C40" s="475"/>
      <c r="D40" s="475"/>
      <c r="E40" s="475"/>
      <c r="F40" s="475"/>
      <c r="G40" s="471"/>
      <c r="H40" s="471"/>
      <c r="I40" s="471"/>
      <c r="J40" s="471"/>
      <c r="K40" s="471"/>
      <c r="L40" s="472"/>
    </row>
    <row r="41" ht="25.5" customHeight="1"/>
    <row r="42" ht="41.25" customHeight="1"/>
    <row r="43" spans="1:12" s="15" customFormat="1" ht="15.75" customHeight="1">
      <c r="A43" s="853" t="s">
        <v>12</v>
      </c>
      <c r="B43" s="853"/>
      <c r="C43" s="1"/>
      <c r="D43" s="14"/>
      <c r="E43" s="14"/>
      <c r="G43" s="14"/>
      <c r="H43" s="14"/>
      <c r="I43" s="881" t="s">
        <v>13</v>
      </c>
      <c r="J43" s="881"/>
      <c r="K43" s="83"/>
      <c r="L43" s="14"/>
    </row>
    <row r="44" spans="7:17" s="15" customFormat="1" ht="12.75" customHeight="1">
      <c r="G44" s="83"/>
      <c r="H44" s="881" t="s">
        <v>14</v>
      </c>
      <c r="I44" s="881"/>
      <c r="J44" s="881"/>
      <c r="K44" s="881"/>
      <c r="L44" s="83"/>
      <c r="M44" s="83"/>
      <c r="N44" s="83"/>
      <c r="O44" s="83"/>
      <c r="P44" s="83"/>
      <c r="Q44" s="83"/>
    </row>
    <row r="45" spans="7:17" s="15" customFormat="1" ht="12.75">
      <c r="G45" s="881" t="s">
        <v>637</v>
      </c>
      <c r="H45" s="881"/>
      <c r="I45" s="881"/>
      <c r="J45" s="881"/>
      <c r="K45" s="881"/>
      <c r="L45" s="881"/>
      <c r="M45" s="83"/>
      <c r="N45" s="83"/>
      <c r="O45" s="83"/>
      <c r="P45" s="83"/>
      <c r="Q45" s="83"/>
    </row>
    <row r="46" spans="2:12" s="15" customFormat="1" ht="12.75">
      <c r="B46" s="14"/>
      <c r="C46" s="14"/>
      <c r="D46" s="14"/>
      <c r="E46" s="14"/>
      <c r="G46" s="14"/>
      <c r="H46" s="898" t="s">
        <v>84</v>
      </c>
      <c r="I46" s="898"/>
      <c r="J46" s="898"/>
      <c r="K46" s="898"/>
      <c r="L46" s="1"/>
    </row>
  </sheetData>
  <sheetProtection/>
  <mergeCells count="22">
    <mergeCell ref="K1:L1"/>
    <mergeCell ref="B2:J2"/>
    <mergeCell ref="B3:J3"/>
    <mergeCell ref="G7:J7"/>
    <mergeCell ref="B5:L5"/>
    <mergeCell ref="I8:J8"/>
    <mergeCell ref="A43:B43"/>
    <mergeCell ref="C8:C9"/>
    <mergeCell ref="H8:H9"/>
    <mergeCell ref="G8:G9"/>
    <mergeCell ref="C7:F7"/>
    <mergeCell ref="D8:D9"/>
    <mergeCell ref="H46:K46"/>
    <mergeCell ref="I43:J43"/>
    <mergeCell ref="H44:K44"/>
    <mergeCell ref="G45:L45"/>
    <mergeCell ref="L7:L9"/>
    <mergeCell ref="A39:L39"/>
    <mergeCell ref="A7:A9"/>
    <mergeCell ref="B7:B9"/>
    <mergeCell ref="K7:K9"/>
    <mergeCell ref="E8:F8"/>
  </mergeCells>
  <printOptions horizontalCentered="1"/>
  <pageMargins left="0.7086614173228347" right="0.7086614173228347" top="0.64" bottom="0" header="0.82" footer="0.31496062992125984"/>
  <pageSetup fitToHeight="1" fitToWidth="1" horizontalDpi="600" verticalDpi="600" orientation="landscape" paperSize="9" scale="54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O36"/>
  <sheetViews>
    <sheetView view="pageBreakPreview" zoomScaleNormal="90" zoomScaleSheetLayoutView="100" zoomScalePageLayoutView="0" workbookViewId="0" topLeftCell="E4">
      <selection activeCell="N19" sqref="N19"/>
    </sheetView>
  </sheetViews>
  <sheetFormatPr defaultColWidth="9.140625" defaultRowHeight="12.75"/>
  <cols>
    <col min="1" max="1" width="4.7109375" style="167" customWidth="1"/>
    <col min="2" max="2" width="36.421875" style="167" customWidth="1"/>
    <col min="3" max="3" width="9.28125" style="167" customWidth="1"/>
    <col min="4" max="8" width="7.8515625" style="167" customWidth="1"/>
    <col min="9" max="9" width="8.7109375" style="167" customWidth="1"/>
    <col min="10" max="10" width="7.8515625" style="167" customWidth="1"/>
    <col min="11" max="11" width="9.140625" style="167" customWidth="1"/>
    <col min="12" max="17" width="8.00390625" style="167" customWidth="1"/>
    <col min="18" max="18" width="9.28125" style="167" customWidth="1"/>
    <col min="19" max="20" width="8.00390625" style="167" customWidth="1"/>
    <col min="21" max="21" width="8.57421875" style="167" customWidth="1"/>
    <col min="22" max="22" width="8.00390625" style="167" customWidth="1"/>
    <col min="23" max="23" width="9.421875" style="167" customWidth="1"/>
    <col min="24" max="16384" width="9.140625" style="167" customWidth="1"/>
  </cols>
  <sheetData>
    <row r="1" spans="15:21" ht="15">
      <c r="O1" s="1252" t="s">
        <v>775</v>
      </c>
      <c r="P1" s="1252"/>
      <c r="Q1" s="1252"/>
      <c r="R1" s="1252"/>
      <c r="S1" s="1252"/>
      <c r="T1" s="1252"/>
      <c r="U1" s="1252"/>
    </row>
    <row r="2" spans="7:21" ht="15.75">
      <c r="G2" s="168"/>
      <c r="H2" s="168"/>
      <c r="I2" s="169"/>
      <c r="J2" s="168" t="s">
        <v>0</v>
      </c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6:21" ht="15.75">
      <c r="F3" s="168"/>
      <c r="G3" s="168"/>
      <c r="H3" s="168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</row>
    <row r="4" spans="2:21" ht="18">
      <c r="B4" s="1253" t="s">
        <v>859</v>
      </c>
      <c r="C4" s="1253"/>
      <c r="D4" s="1253"/>
      <c r="E4" s="1253"/>
      <c r="F4" s="1253"/>
      <c r="G4" s="1253"/>
      <c r="H4" s="1253"/>
      <c r="I4" s="1253"/>
      <c r="J4" s="1253"/>
      <c r="K4" s="1253"/>
      <c r="L4" s="1253"/>
      <c r="M4" s="1253"/>
      <c r="N4" s="1253"/>
      <c r="O4" s="1253"/>
      <c r="P4" s="1253"/>
      <c r="Q4" s="1253"/>
      <c r="R4" s="1253"/>
      <c r="S4" s="1253"/>
      <c r="T4" s="1253"/>
      <c r="U4" s="1253"/>
    </row>
    <row r="6" spans="2:21" ht="15.75">
      <c r="B6" s="1254" t="s">
        <v>1008</v>
      </c>
      <c r="C6" s="1254"/>
      <c r="D6" s="1254"/>
      <c r="E6" s="1254"/>
      <c r="F6" s="1254"/>
      <c r="G6" s="1254"/>
      <c r="H6" s="1254"/>
      <c r="I6" s="1254"/>
      <c r="J6" s="1254"/>
      <c r="K6" s="1254"/>
      <c r="L6" s="1254"/>
      <c r="M6" s="1254"/>
      <c r="N6" s="1254"/>
      <c r="O6" s="1254"/>
      <c r="P6" s="1254"/>
      <c r="Q6" s="1254"/>
      <c r="R6" s="1254"/>
      <c r="S6" s="1254"/>
      <c r="T6" s="1254"/>
      <c r="U6" s="1254"/>
    </row>
    <row r="8" spans="1:2" ht="12.75">
      <c r="A8" s="1255" t="s">
        <v>1065</v>
      </c>
      <c r="B8" s="1255"/>
    </row>
    <row r="9" spans="1:23" ht="18">
      <c r="A9" s="170"/>
      <c r="B9" s="170"/>
      <c r="V9" s="1237" t="s">
        <v>273</v>
      </c>
      <c r="W9" s="1237"/>
    </row>
    <row r="10" spans="1:249" ht="12.75" customHeight="1">
      <c r="A10" s="1238" t="s">
        <v>2</v>
      </c>
      <c r="B10" s="1238" t="s">
        <v>110</v>
      </c>
      <c r="C10" s="1240" t="s">
        <v>25</v>
      </c>
      <c r="D10" s="1241"/>
      <c r="E10" s="1241"/>
      <c r="F10" s="1241"/>
      <c r="G10" s="1241"/>
      <c r="H10" s="1241"/>
      <c r="I10" s="1241"/>
      <c r="J10" s="1241"/>
      <c r="K10" s="1242"/>
      <c r="L10" s="1240" t="s">
        <v>26</v>
      </c>
      <c r="M10" s="1241"/>
      <c r="N10" s="1241"/>
      <c r="O10" s="1241"/>
      <c r="P10" s="1241"/>
      <c r="Q10" s="1241"/>
      <c r="R10" s="1241"/>
      <c r="S10" s="1241"/>
      <c r="T10" s="1242"/>
      <c r="U10" s="1243" t="s">
        <v>152</v>
      </c>
      <c r="V10" s="1244"/>
      <c r="W10" s="1245"/>
      <c r="X10" s="172"/>
      <c r="Y10" s="172"/>
      <c r="Z10" s="172"/>
      <c r="AA10" s="172"/>
      <c r="AB10" s="172"/>
      <c r="AC10" s="173"/>
      <c r="AD10" s="174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  <c r="FF10" s="172"/>
      <c r="FG10" s="172"/>
      <c r="FH10" s="172"/>
      <c r="FI10" s="172"/>
      <c r="FJ10" s="172"/>
      <c r="FK10" s="172"/>
      <c r="FL10" s="172"/>
      <c r="FM10" s="172"/>
      <c r="FN10" s="172"/>
      <c r="FO10" s="172"/>
      <c r="FP10" s="172"/>
      <c r="FQ10" s="172"/>
      <c r="FR10" s="172"/>
      <c r="FS10" s="172"/>
      <c r="FT10" s="172"/>
      <c r="FU10" s="172"/>
      <c r="FV10" s="172"/>
      <c r="FW10" s="172"/>
      <c r="FX10" s="172"/>
      <c r="FY10" s="172"/>
      <c r="FZ10" s="172"/>
      <c r="GA10" s="172"/>
      <c r="GB10" s="172"/>
      <c r="GC10" s="172"/>
      <c r="GD10" s="172"/>
      <c r="GE10" s="172"/>
      <c r="GF10" s="172"/>
      <c r="GG10" s="172"/>
      <c r="GH10" s="172"/>
      <c r="GI10" s="172"/>
      <c r="GJ10" s="172"/>
      <c r="GK10" s="172"/>
      <c r="GL10" s="172"/>
      <c r="GM10" s="172"/>
      <c r="GN10" s="172"/>
      <c r="GO10" s="172"/>
      <c r="GP10" s="172"/>
      <c r="GQ10" s="172"/>
      <c r="GR10" s="172"/>
      <c r="GS10" s="172"/>
      <c r="GT10" s="172"/>
      <c r="GU10" s="172"/>
      <c r="GV10" s="172"/>
      <c r="GW10" s="172"/>
      <c r="GX10" s="172"/>
      <c r="GY10" s="172"/>
      <c r="GZ10" s="172"/>
      <c r="HA10" s="172"/>
      <c r="HB10" s="172"/>
      <c r="HC10" s="172"/>
      <c r="HD10" s="172"/>
      <c r="HE10" s="172"/>
      <c r="HF10" s="172"/>
      <c r="HG10" s="172"/>
      <c r="HH10" s="172"/>
      <c r="HI10" s="172"/>
      <c r="HJ10" s="172"/>
      <c r="HK10" s="172"/>
      <c r="HL10" s="172"/>
      <c r="HM10" s="172"/>
      <c r="HN10" s="172"/>
      <c r="HO10" s="172"/>
      <c r="HP10" s="172"/>
      <c r="HQ10" s="172"/>
      <c r="HR10" s="172"/>
      <c r="HS10" s="172"/>
      <c r="HT10" s="172"/>
      <c r="HU10" s="172"/>
      <c r="HV10" s="172"/>
      <c r="HW10" s="172"/>
      <c r="HX10" s="172"/>
      <c r="HY10" s="172"/>
      <c r="HZ10" s="172"/>
      <c r="IA10" s="172"/>
      <c r="IB10" s="172"/>
      <c r="IC10" s="172"/>
      <c r="ID10" s="172"/>
      <c r="IE10" s="172"/>
      <c r="IF10" s="172"/>
      <c r="IG10" s="172"/>
      <c r="IH10" s="172"/>
      <c r="II10" s="172"/>
      <c r="IJ10" s="172"/>
      <c r="IK10" s="172"/>
      <c r="IL10" s="172"/>
      <c r="IM10" s="172"/>
      <c r="IN10" s="172"/>
      <c r="IO10" s="172"/>
    </row>
    <row r="11" spans="1:249" ht="12.75" customHeight="1">
      <c r="A11" s="1239"/>
      <c r="B11" s="1239"/>
      <c r="C11" s="1249" t="s">
        <v>189</v>
      </c>
      <c r="D11" s="1250"/>
      <c r="E11" s="1251"/>
      <c r="F11" s="1249" t="s">
        <v>190</v>
      </c>
      <c r="G11" s="1250"/>
      <c r="H11" s="1251"/>
      <c r="I11" s="1249" t="s">
        <v>19</v>
      </c>
      <c r="J11" s="1250"/>
      <c r="K11" s="1251"/>
      <c r="L11" s="1249" t="s">
        <v>189</v>
      </c>
      <c r="M11" s="1250"/>
      <c r="N11" s="1251"/>
      <c r="O11" s="1249" t="s">
        <v>190</v>
      </c>
      <c r="P11" s="1250"/>
      <c r="Q11" s="1251"/>
      <c r="R11" s="1249" t="s">
        <v>19</v>
      </c>
      <c r="S11" s="1250"/>
      <c r="T11" s="1251"/>
      <c r="U11" s="1246"/>
      <c r="V11" s="1247"/>
      <c r="W11" s="1248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2"/>
      <c r="FH11" s="172"/>
      <c r="FI11" s="172"/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2"/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  <c r="GO11" s="172"/>
      <c r="GP11" s="172"/>
      <c r="GQ11" s="172"/>
      <c r="GR11" s="172"/>
      <c r="GS11" s="172"/>
      <c r="GT11" s="172"/>
      <c r="GU11" s="172"/>
      <c r="GV11" s="172"/>
      <c r="GW11" s="172"/>
      <c r="GX11" s="172"/>
      <c r="GY11" s="172"/>
      <c r="GZ11" s="172"/>
      <c r="HA11" s="172"/>
      <c r="HB11" s="172"/>
      <c r="HC11" s="172"/>
      <c r="HD11" s="172"/>
      <c r="HE11" s="172"/>
      <c r="HF11" s="172"/>
      <c r="HG11" s="172"/>
      <c r="HH11" s="172"/>
      <c r="HI11" s="172"/>
      <c r="HJ11" s="172"/>
      <c r="HK11" s="172"/>
      <c r="HL11" s="172"/>
      <c r="HM11" s="172"/>
      <c r="HN11" s="172"/>
      <c r="HO11" s="172"/>
      <c r="HP11" s="172"/>
      <c r="HQ11" s="172"/>
      <c r="HR11" s="172"/>
      <c r="HS11" s="172"/>
      <c r="HT11" s="172"/>
      <c r="HU11" s="172"/>
      <c r="HV11" s="172"/>
      <c r="HW11" s="172"/>
      <c r="HX11" s="172"/>
      <c r="HY11" s="172"/>
      <c r="HZ11" s="172"/>
      <c r="IA11" s="172"/>
      <c r="IB11" s="172"/>
      <c r="IC11" s="172"/>
      <c r="ID11" s="172"/>
      <c r="IE11" s="172"/>
      <c r="IF11" s="172"/>
      <c r="IG11" s="172"/>
      <c r="IH11" s="172"/>
      <c r="II11" s="172"/>
      <c r="IJ11" s="172"/>
      <c r="IK11" s="172"/>
      <c r="IL11" s="172"/>
      <c r="IM11" s="172"/>
      <c r="IN11" s="172"/>
      <c r="IO11" s="172"/>
    </row>
    <row r="12" spans="1:249" ht="12.75">
      <c r="A12" s="171"/>
      <c r="B12" s="171"/>
      <c r="C12" s="796" t="s">
        <v>274</v>
      </c>
      <c r="D12" s="797" t="s">
        <v>43</v>
      </c>
      <c r="E12" s="798" t="s">
        <v>44</v>
      </c>
      <c r="F12" s="796" t="s">
        <v>274</v>
      </c>
      <c r="G12" s="797" t="s">
        <v>43</v>
      </c>
      <c r="H12" s="798" t="s">
        <v>44</v>
      </c>
      <c r="I12" s="796" t="s">
        <v>274</v>
      </c>
      <c r="J12" s="797" t="s">
        <v>43</v>
      </c>
      <c r="K12" s="798" t="s">
        <v>44</v>
      </c>
      <c r="L12" s="796" t="s">
        <v>274</v>
      </c>
      <c r="M12" s="797" t="s">
        <v>43</v>
      </c>
      <c r="N12" s="798" t="s">
        <v>44</v>
      </c>
      <c r="O12" s="796" t="s">
        <v>274</v>
      </c>
      <c r="P12" s="797" t="s">
        <v>43</v>
      </c>
      <c r="Q12" s="798" t="s">
        <v>44</v>
      </c>
      <c r="R12" s="796" t="s">
        <v>274</v>
      </c>
      <c r="S12" s="797" t="s">
        <v>43</v>
      </c>
      <c r="T12" s="798" t="s">
        <v>44</v>
      </c>
      <c r="U12" s="171" t="s">
        <v>274</v>
      </c>
      <c r="V12" s="171" t="s">
        <v>43</v>
      </c>
      <c r="W12" s="171" t="s">
        <v>44</v>
      </c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2"/>
      <c r="FO12" s="172"/>
      <c r="FP12" s="172"/>
      <c r="FQ12" s="172"/>
      <c r="FR12" s="172"/>
      <c r="FS12" s="172"/>
      <c r="FT12" s="172"/>
      <c r="FU12" s="172"/>
      <c r="FV12" s="172"/>
      <c r="FW12" s="172"/>
      <c r="FX12" s="172"/>
      <c r="FY12" s="172"/>
      <c r="FZ12" s="172"/>
      <c r="GA12" s="172"/>
      <c r="GB12" s="172"/>
      <c r="GC12" s="172"/>
      <c r="GD12" s="172"/>
      <c r="GE12" s="172"/>
      <c r="GF12" s="172"/>
      <c r="GG12" s="172"/>
      <c r="GH12" s="172"/>
      <c r="GI12" s="172"/>
      <c r="GJ12" s="172"/>
      <c r="GK12" s="172"/>
      <c r="GL12" s="172"/>
      <c r="GM12" s="172"/>
      <c r="GN12" s="172"/>
      <c r="GO12" s="172"/>
      <c r="GP12" s="172"/>
      <c r="GQ12" s="172"/>
      <c r="GR12" s="172"/>
      <c r="GS12" s="172"/>
      <c r="GT12" s="172"/>
      <c r="GU12" s="172"/>
      <c r="GV12" s="172"/>
      <c r="GW12" s="172"/>
      <c r="GX12" s="172"/>
      <c r="GY12" s="172"/>
      <c r="GZ12" s="172"/>
      <c r="HA12" s="172"/>
      <c r="HB12" s="172"/>
      <c r="HC12" s="172"/>
      <c r="HD12" s="172"/>
      <c r="HE12" s="172"/>
      <c r="HF12" s="172"/>
      <c r="HG12" s="172"/>
      <c r="HH12" s="172"/>
      <c r="HI12" s="172"/>
      <c r="HJ12" s="172"/>
      <c r="HK12" s="172"/>
      <c r="HL12" s="172"/>
      <c r="HM12" s="172"/>
      <c r="HN12" s="172"/>
      <c r="HO12" s="172"/>
      <c r="HP12" s="172"/>
      <c r="HQ12" s="172"/>
      <c r="HR12" s="172"/>
      <c r="HS12" s="172"/>
      <c r="HT12" s="172"/>
      <c r="HU12" s="172"/>
      <c r="HV12" s="172"/>
      <c r="HW12" s="172"/>
      <c r="HX12" s="172"/>
      <c r="HY12" s="172"/>
      <c r="HZ12" s="172"/>
      <c r="IA12" s="172"/>
      <c r="IB12" s="172"/>
      <c r="IC12" s="172"/>
      <c r="ID12" s="172"/>
      <c r="IE12" s="172"/>
      <c r="IF12" s="172"/>
      <c r="IG12" s="172"/>
      <c r="IH12" s="172"/>
      <c r="II12" s="172"/>
      <c r="IJ12" s="172"/>
      <c r="IK12" s="172"/>
      <c r="IL12" s="172"/>
      <c r="IM12" s="172"/>
      <c r="IN12" s="172"/>
      <c r="IO12" s="172"/>
    </row>
    <row r="13" spans="1:249" ht="12.75">
      <c r="A13" s="171">
        <v>1</v>
      </c>
      <c r="B13" s="171">
        <v>2</v>
      </c>
      <c r="C13" s="171">
        <v>3</v>
      </c>
      <c r="D13" s="171">
        <v>4</v>
      </c>
      <c r="E13" s="171">
        <v>5</v>
      </c>
      <c r="F13" s="171">
        <v>7</v>
      </c>
      <c r="G13" s="171">
        <v>8</v>
      </c>
      <c r="H13" s="171">
        <v>9</v>
      </c>
      <c r="I13" s="171">
        <v>11</v>
      </c>
      <c r="J13" s="171">
        <v>12</v>
      </c>
      <c r="K13" s="171">
        <v>13</v>
      </c>
      <c r="L13" s="171">
        <v>15</v>
      </c>
      <c r="M13" s="171">
        <v>16</v>
      </c>
      <c r="N13" s="171">
        <v>17</v>
      </c>
      <c r="O13" s="171">
        <v>19</v>
      </c>
      <c r="P13" s="171">
        <v>20</v>
      </c>
      <c r="Q13" s="171">
        <v>21</v>
      </c>
      <c r="R13" s="171">
        <v>23</v>
      </c>
      <c r="S13" s="171">
        <v>24</v>
      </c>
      <c r="T13" s="171">
        <v>25</v>
      </c>
      <c r="U13" s="171">
        <v>27</v>
      </c>
      <c r="V13" s="171">
        <v>28</v>
      </c>
      <c r="W13" s="171">
        <v>29</v>
      </c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  <c r="FF13" s="175"/>
      <c r="FG13" s="175"/>
      <c r="FH13" s="175"/>
      <c r="FI13" s="175"/>
      <c r="FJ13" s="175"/>
      <c r="FK13" s="175"/>
      <c r="FL13" s="175"/>
      <c r="FM13" s="175"/>
      <c r="FN13" s="175"/>
      <c r="FO13" s="175"/>
      <c r="FP13" s="175"/>
      <c r="FQ13" s="175"/>
      <c r="FR13" s="175"/>
      <c r="FS13" s="175"/>
      <c r="FT13" s="175"/>
      <c r="FU13" s="175"/>
      <c r="FV13" s="175"/>
      <c r="FW13" s="175"/>
      <c r="FX13" s="175"/>
      <c r="FY13" s="175"/>
      <c r="FZ13" s="175"/>
      <c r="GA13" s="175"/>
      <c r="GB13" s="175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  <c r="GQ13" s="175"/>
      <c r="GR13" s="175"/>
      <c r="GS13" s="175"/>
      <c r="GT13" s="175"/>
      <c r="GU13" s="175"/>
      <c r="GV13" s="175"/>
      <c r="GW13" s="175"/>
      <c r="GX13" s="175"/>
      <c r="GY13" s="175"/>
      <c r="GZ13" s="175"/>
      <c r="HA13" s="175"/>
      <c r="HB13" s="175"/>
      <c r="HC13" s="175"/>
      <c r="HD13" s="175"/>
      <c r="HE13" s="175"/>
      <c r="HF13" s="175"/>
      <c r="HG13" s="175"/>
      <c r="HH13" s="175"/>
      <c r="HI13" s="175"/>
      <c r="HJ13" s="175"/>
      <c r="HK13" s="175"/>
      <c r="HL13" s="175"/>
      <c r="HM13" s="175"/>
      <c r="HN13" s="175"/>
      <c r="HO13" s="175"/>
      <c r="HP13" s="175"/>
      <c r="HQ13" s="175"/>
      <c r="HR13" s="175"/>
      <c r="HS13" s="175"/>
      <c r="HT13" s="175"/>
      <c r="HU13" s="175"/>
      <c r="HV13" s="175"/>
      <c r="HW13" s="175"/>
      <c r="HX13" s="175"/>
      <c r="HY13" s="175"/>
      <c r="HZ13" s="175"/>
      <c r="IA13" s="175"/>
      <c r="IB13" s="175"/>
      <c r="IC13" s="175"/>
      <c r="ID13" s="175"/>
      <c r="IE13" s="175"/>
      <c r="IF13" s="175"/>
      <c r="IG13" s="175"/>
      <c r="IH13" s="175"/>
      <c r="II13" s="175"/>
      <c r="IJ13" s="175"/>
      <c r="IK13" s="175"/>
      <c r="IL13" s="175"/>
      <c r="IM13" s="175"/>
      <c r="IN13" s="175"/>
      <c r="IO13" s="175"/>
    </row>
    <row r="14" spans="1:249" ht="12.75" customHeight="1">
      <c r="A14" s="1257" t="s">
        <v>266</v>
      </c>
      <c r="B14" s="1258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6"/>
      <c r="V14" s="177"/>
      <c r="W14" s="177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5"/>
      <c r="FF14" s="175"/>
      <c r="FG14" s="175"/>
      <c r="FH14" s="175"/>
      <c r="FI14" s="175"/>
      <c r="FJ14" s="175"/>
      <c r="FK14" s="175"/>
      <c r="FL14" s="175"/>
      <c r="FM14" s="175"/>
      <c r="FN14" s="175"/>
      <c r="FO14" s="175"/>
      <c r="FP14" s="175"/>
      <c r="FQ14" s="175"/>
      <c r="FR14" s="175"/>
      <c r="FS14" s="175"/>
      <c r="FT14" s="175"/>
      <c r="FU14" s="175"/>
      <c r="FV14" s="175"/>
      <c r="FW14" s="175"/>
      <c r="FX14" s="175"/>
      <c r="FY14" s="175"/>
      <c r="FZ14" s="175"/>
      <c r="GA14" s="175"/>
      <c r="GB14" s="175"/>
      <c r="GC14" s="175"/>
      <c r="GD14" s="175"/>
      <c r="GE14" s="175"/>
      <c r="GF14" s="175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  <c r="GQ14" s="175"/>
      <c r="GR14" s="175"/>
      <c r="GS14" s="175"/>
      <c r="GT14" s="175"/>
      <c r="GU14" s="175"/>
      <c r="GV14" s="175"/>
      <c r="GW14" s="175"/>
      <c r="GX14" s="175"/>
      <c r="GY14" s="175"/>
      <c r="GZ14" s="175"/>
      <c r="HA14" s="175"/>
      <c r="HB14" s="175"/>
      <c r="HC14" s="175"/>
      <c r="HD14" s="175"/>
      <c r="HE14" s="175"/>
      <c r="HF14" s="175"/>
      <c r="HG14" s="175"/>
      <c r="HH14" s="175"/>
      <c r="HI14" s="175"/>
      <c r="HJ14" s="175"/>
      <c r="HK14" s="175"/>
      <c r="HL14" s="175"/>
      <c r="HM14" s="175"/>
      <c r="HN14" s="175"/>
      <c r="HO14" s="175"/>
      <c r="HP14" s="175"/>
      <c r="HQ14" s="175"/>
      <c r="HR14" s="175"/>
      <c r="HS14" s="175"/>
      <c r="HT14" s="175"/>
      <c r="HU14" s="175"/>
      <c r="HV14" s="175"/>
      <c r="HW14" s="175"/>
      <c r="HX14" s="175"/>
      <c r="HY14" s="175"/>
      <c r="HZ14" s="175"/>
      <c r="IA14" s="175"/>
      <c r="IB14" s="175"/>
      <c r="IC14" s="175"/>
      <c r="ID14" s="175"/>
      <c r="IE14" s="175"/>
      <c r="IF14" s="175"/>
      <c r="IG14" s="175"/>
      <c r="IH14" s="175"/>
      <c r="II14" s="175"/>
      <c r="IJ14" s="175"/>
      <c r="IK14" s="175"/>
      <c r="IL14" s="175"/>
      <c r="IM14" s="175"/>
      <c r="IN14" s="175"/>
      <c r="IO14" s="175"/>
    </row>
    <row r="15" spans="1:23" ht="12.75">
      <c r="A15" s="178">
        <v>1</v>
      </c>
      <c r="B15" s="179" t="s">
        <v>132</v>
      </c>
      <c r="C15" s="545">
        <v>800</v>
      </c>
      <c r="D15" s="545">
        <v>192</v>
      </c>
      <c r="E15" s="545">
        <v>608</v>
      </c>
      <c r="F15" s="545"/>
      <c r="G15" s="545"/>
      <c r="H15" s="545"/>
      <c r="I15" s="545">
        <v>800</v>
      </c>
      <c r="J15" s="545">
        <v>192</v>
      </c>
      <c r="K15" s="545">
        <v>608</v>
      </c>
      <c r="L15" s="545">
        <v>600</v>
      </c>
      <c r="M15" s="545">
        <v>144</v>
      </c>
      <c r="N15" s="545">
        <v>456</v>
      </c>
      <c r="O15" s="545"/>
      <c r="P15" s="545"/>
      <c r="Q15" s="545"/>
      <c r="R15" s="545">
        <v>600</v>
      </c>
      <c r="S15" s="545">
        <v>144</v>
      </c>
      <c r="T15" s="545">
        <v>456</v>
      </c>
      <c r="U15" s="545">
        <f>I15+R15</f>
        <v>1400</v>
      </c>
      <c r="V15" s="545">
        <f aca="true" t="shared" si="0" ref="V15:W19">J15+S15</f>
        <v>336</v>
      </c>
      <c r="W15" s="545">
        <f t="shared" si="0"/>
        <v>1064</v>
      </c>
    </row>
    <row r="16" spans="1:23" ht="12.75">
      <c r="A16" s="178">
        <v>2</v>
      </c>
      <c r="B16" s="181" t="s">
        <v>481</v>
      </c>
      <c r="C16" s="545">
        <f>I16*54%</f>
        <v>6325.425</v>
      </c>
      <c r="D16" s="545">
        <f>J16*54%</f>
        <v>1518.102</v>
      </c>
      <c r="E16" s="545">
        <f>K16*54%</f>
        <v>4807.323</v>
      </c>
      <c r="F16" s="545">
        <f>I16*46%</f>
        <v>5388.325</v>
      </c>
      <c r="G16" s="545">
        <f>J16*46%</f>
        <v>1293.198</v>
      </c>
      <c r="H16" s="545">
        <f>K16*46%</f>
        <v>4095.1270000000004</v>
      </c>
      <c r="I16" s="545">
        <v>11713.75</v>
      </c>
      <c r="J16" s="545">
        <v>2811.3</v>
      </c>
      <c r="K16" s="545">
        <v>8902.45</v>
      </c>
      <c r="L16" s="545">
        <f>R16*60%</f>
        <v>5445.9</v>
      </c>
      <c r="M16" s="545">
        <f>S16*60%</f>
        <v>1307.016</v>
      </c>
      <c r="N16" s="545">
        <f>T16*60%</f>
        <v>4138.884</v>
      </c>
      <c r="O16" s="545">
        <f>R16*40%</f>
        <v>3630.6000000000004</v>
      </c>
      <c r="P16" s="545">
        <f>S16*40%</f>
        <v>871.344</v>
      </c>
      <c r="Q16" s="545">
        <f>T16*40%</f>
        <v>2759.2560000000003</v>
      </c>
      <c r="R16" s="545">
        <v>9076.5</v>
      </c>
      <c r="S16" s="545">
        <v>2178.36</v>
      </c>
      <c r="T16" s="545">
        <v>6898.14</v>
      </c>
      <c r="U16" s="545">
        <f>I16+R16</f>
        <v>20790.25</v>
      </c>
      <c r="V16" s="545">
        <f t="shared" si="0"/>
        <v>4989.66</v>
      </c>
      <c r="W16" s="545">
        <f t="shared" si="0"/>
        <v>15800.59</v>
      </c>
    </row>
    <row r="17" spans="1:23" ht="15" customHeight="1">
      <c r="A17" s="178">
        <v>3</v>
      </c>
      <c r="B17" s="181" t="s">
        <v>136</v>
      </c>
      <c r="C17" s="545">
        <f>I17-F17</f>
        <v>2094.25</v>
      </c>
      <c r="D17" s="545">
        <f>J17-G17</f>
        <v>502.62</v>
      </c>
      <c r="E17" s="545">
        <f>K17-H17</f>
        <v>1591.63</v>
      </c>
      <c r="F17" s="545">
        <f>I17/2</f>
        <v>2094.25</v>
      </c>
      <c r="G17" s="545">
        <f>J17/2</f>
        <v>502.62</v>
      </c>
      <c r="H17" s="545">
        <f>K17/2</f>
        <v>1591.63</v>
      </c>
      <c r="I17" s="545">
        <v>4188.5</v>
      </c>
      <c r="J17" s="545">
        <v>1005.24</v>
      </c>
      <c r="K17" s="545">
        <v>3183.26</v>
      </c>
      <c r="L17" s="545">
        <f>R17-O17</f>
        <v>1204.065</v>
      </c>
      <c r="M17" s="545">
        <f>S17-P17</f>
        <v>288.975</v>
      </c>
      <c r="N17" s="545">
        <f>T17-Q17</f>
        <v>915.09</v>
      </c>
      <c r="O17" s="545">
        <f>R17/2</f>
        <v>1204.065</v>
      </c>
      <c r="P17" s="545">
        <f>S17/2</f>
        <v>288.975</v>
      </c>
      <c r="Q17" s="545">
        <f>T17/2</f>
        <v>915.09</v>
      </c>
      <c r="R17" s="545">
        <v>2408.13</v>
      </c>
      <c r="S17" s="545">
        <v>577.95</v>
      </c>
      <c r="T17" s="545">
        <v>1830.18</v>
      </c>
      <c r="U17" s="545">
        <f>I17+R17</f>
        <v>6596.63</v>
      </c>
      <c r="V17" s="545">
        <f t="shared" si="0"/>
        <v>1583.19</v>
      </c>
      <c r="W17" s="545">
        <f t="shared" si="0"/>
        <v>5013.4400000000005</v>
      </c>
    </row>
    <row r="18" spans="1:23" ht="12" customHeight="1">
      <c r="A18" s="178">
        <v>4</v>
      </c>
      <c r="B18" s="181" t="s">
        <v>134</v>
      </c>
      <c r="C18" s="545">
        <v>194.5</v>
      </c>
      <c r="D18" s="545">
        <v>46.68</v>
      </c>
      <c r="E18" s="545">
        <v>147.82</v>
      </c>
      <c r="F18" s="545"/>
      <c r="G18" s="545"/>
      <c r="H18" s="545"/>
      <c r="I18" s="545">
        <f aca="true" t="shared" si="1" ref="I18:K19">C18+F18</f>
        <v>194.5</v>
      </c>
      <c r="J18" s="545">
        <f t="shared" si="1"/>
        <v>46.68</v>
      </c>
      <c r="K18" s="545">
        <f t="shared" si="1"/>
        <v>147.82</v>
      </c>
      <c r="L18" s="545">
        <v>182.5</v>
      </c>
      <c r="M18" s="545">
        <v>43.8</v>
      </c>
      <c r="N18" s="545">
        <v>138.7</v>
      </c>
      <c r="O18" s="545"/>
      <c r="P18" s="545"/>
      <c r="Q18" s="545"/>
      <c r="R18" s="545">
        <f aca="true" t="shared" si="2" ref="R18:T19">L18+O18</f>
        <v>182.5</v>
      </c>
      <c r="S18" s="545">
        <f t="shared" si="2"/>
        <v>43.8</v>
      </c>
      <c r="T18" s="545">
        <f t="shared" si="2"/>
        <v>138.7</v>
      </c>
      <c r="U18" s="545">
        <f>I18+R18</f>
        <v>377</v>
      </c>
      <c r="V18" s="545">
        <f t="shared" si="0"/>
        <v>90.47999999999999</v>
      </c>
      <c r="W18" s="545">
        <f t="shared" si="0"/>
        <v>286.52</v>
      </c>
    </row>
    <row r="19" spans="1:23" ht="12.75">
      <c r="A19" s="178">
        <v>5</v>
      </c>
      <c r="B19" s="179" t="s">
        <v>135</v>
      </c>
      <c r="C19" s="545">
        <v>207.5</v>
      </c>
      <c r="D19" s="545">
        <v>49.8</v>
      </c>
      <c r="E19" s="545">
        <v>157.7</v>
      </c>
      <c r="F19" s="545"/>
      <c r="G19" s="545"/>
      <c r="H19" s="545"/>
      <c r="I19" s="545">
        <f t="shared" si="1"/>
        <v>207.5</v>
      </c>
      <c r="J19" s="545">
        <f t="shared" si="1"/>
        <v>49.8</v>
      </c>
      <c r="K19" s="545">
        <f t="shared" si="1"/>
        <v>157.7</v>
      </c>
      <c r="L19" s="545">
        <v>182.5</v>
      </c>
      <c r="M19" s="545">
        <v>43.8</v>
      </c>
      <c r="N19" s="545">
        <v>138.7</v>
      </c>
      <c r="O19" s="545"/>
      <c r="P19" s="545"/>
      <c r="Q19" s="545"/>
      <c r="R19" s="545">
        <f t="shared" si="2"/>
        <v>182.5</v>
      </c>
      <c r="S19" s="545">
        <f t="shared" si="2"/>
        <v>43.8</v>
      </c>
      <c r="T19" s="545">
        <f t="shared" si="2"/>
        <v>138.7</v>
      </c>
      <c r="U19" s="545">
        <f>I19+R19</f>
        <v>390</v>
      </c>
      <c r="V19" s="545">
        <f t="shared" si="0"/>
        <v>93.6</v>
      </c>
      <c r="W19" s="545">
        <f t="shared" si="0"/>
        <v>296.4</v>
      </c>
    </row>
    <row r="20" spans="1:23" ht="12.75" customHeight="1">
      <c r="A20" s="1257" t="s">
        <v>267</v>
      </c>
      <c r="B20" s="1258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</row>
    <row r="21" spans="1:23" ht="12.75">
      <c r="A21" s="178">
        <v>6</v>
      </c>
      <c r="B21" s="179" t="s">
        <v>137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</row>
    <row r="22" spans="1:23" ht="12.75">
      <c r="A22" s="178">
        <v>7</v>
      </c>
      <c r="B22" s="179" t="s">
        <v>138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</row>
    <row r="23" spans="1:23" ht="12.75">
      <c r="A23" s="178">
        <v>8</v>
      </c>
      <c r="B23" s="179" t="s">
        <v>1062</v>
      </c>
      <c r="C23" s="545">
        <v>140.15999999999997</v>
      </c>
      <c r="D23" s="545">
        <v>33.63839999999999</v>
      </c>
      <c r="E23" s="545">
        <v>106.52159999999998</v>
      </c>
      <c r="F23" s="545">
        <v>93.44000000000001</v>
      </c>
      <c r="G23" s="545">
        <v>22.425600000000003</v>
      </c>
      <c r="H23" s="545">
        <v>71.01440000000001</v>
      </c>
      <c r="I23" s="545">
        <f>C23+F23</f>
        <v>233.59999999999997</v>
      </c>
      <c r="J23" s="545">
        <f>D23+G23</f>
        <v>56.06399999999999</v>
      </c>
      <c r="K23" s="545">
        <f>E23+H23</f>
        <v>177.536</v>
      </c>
      <c r="L23" s="180"/>
      <c r="M23" s="180"/>
      <c r="N23" s="180"/>
      <c r="O23" s="180"/>
      <c r="P23" s="180"/>
      <c r="Q23" s="180"/>
      <c r="R23" s="180"/>
      <c r="S23" s="180"/>
      <c r="T23" s="180"/>
      <c r="U23" s="545">
        <f>I23+R23</f>
        <v>233.59999999999997</v>
      </c>
      <c r="V23" s="545">
        <f>J23+S23</f>
        <v>56.06399999999999</v>
      </c>
      <c r="W23" s="545">
        <f>K23+T23</f>
        <v>177.536</v>
      </c>
    </row>
    <row r="24" spans="1:23" ht="12.75">
      <c r="A24" s="178"/>
      <c r="B24" s="179" t="s">
        <v>32</v>
      </c>
      <c r="C24" s="545">
        <f>SUM(C15:C23)</f>
        <v>9761.835</v>
      </c>
      <c r="D24" s="545">
        <f aca="true" t="shared" si="3" ref="D24:W24">SUM(D15:D23)</f>
        <v>2342.8404</v>
      </c>
      <c r="E24" s="545">
        <f t="shared" si="3"/>
        <v>7418.9946</v>
      </c>
      <c r="F24" s="545">
        <f t="shared" si="3"/>
        <v>7576.014999999999</v>
      </c>
      <c r="G24" s="545">
        <f t="shared" si="3"/>
        <v>1818.2436000000002</v>
      </c>
      <c r="H24" s="545">
        <f t="shared" si="3"/>
        <v>5757.7714000000005</v>
      </c>
      <c r="I24" s="545">
        <f t="shared" si="3"/>
        <v>17337.85</v>
      </c>
      <c r="J24" s="545">
        <f t="shared" si="3"/>
        <v>4161.084</v>
      </c>
      <c r="K24" s="545">
        <f t="shared" si="3"/>
        <v>13176.766000000001</v>
      </c>
      <c r="L24" s="545">
        <f t="shared" si="3"/>
        <v>7614.965</v>
      </c>
      <c r="M24" s="545">
        <f t="shared" si="3"/>
        <v>1827.591</v>
      </c>
      <c r="N24" s="545">
        <f t="shared" si="3"/>
        <v>5787.374</v>
      </c>
      <c r="O24" s="545">
        <f t="shared" si="3"/>
        <v>4834.665000000001</v>
      </c>
      <c r="P24" s="545">
        <f t="shared" si="3"/>
        <v>1160.319</v>
      </c>
      <c r="Q24" s="545">
        <f t="shared" si="3"/>
        <v>3674.3460000000005</v>
      </c>
      <c r="R24" s="545">
        <f t="shared" si="3"/>
        <v>12449.630000000001</v>
      </c>
      <c r="S24" s="545">
        <f t="shared" si="3"/>
        <v>2987.9100000000008</v>
      </c>
      <c r="T24" s="545">
        <f t="shared" si="3"/>
        <v>9461.720000000001</v>
      </c>
      <c r="U24" s="545">
        <f t="shared" si="3"/>
        <v>29787.48</v>
      </c>
      <c r="V24" s="545">
        <f t="shared" si="3"/>
        <v>7148.994000000001</v>
      </c>
      <c r="W24" s="545">
        <f t="shared" si="3"/>
        <v>22638.486</v>
      </c>
    </row>
    <row r="25" spans="1:23" ht="12.75">
      <c r="A25" s="834">
        <v>9</v>
      </c>
      <c r="B25" s="179" t="s">
        <v>1063</v>
      </c>
      <c r="C25" s="545">
        <f>C24*5%</f>
        <v>488.09175</v>
      </c>
      <c r="D25" s="545">
        <f aca="true" t="shared" si="4" ref="D25:W25">D24*5%</f>
        <v>117.14202</v>
      </c>
      <c r="E25" s="545">
        <f t="shared" si="4"/>
        <v>370.94973000000005</v>
      </c>
      <c r="F25" s="545">
        <f t="shared" si="4"/>
        <v>378.80075</v>
      </c>
      <c r="G25" s="545">
        <f t="shared" si="4"/>
        <v>90.91218000000002</v>
      </c>
      <c r="H25" s="545">
        <f t="shared" si="4"/>
        <v>287.88857</v>
      </c>
      <c r="I25" s="545">
        <f t="shared" si="4"/>
        <v>866.8924999999999</v>
      </c>
      <c r="J25" s="545">
        <f t="shared" si="4"/>
        <v>208.0542</v>
      </c>
      <c r="K25" s="545">
        <f t="shared" si="4"/>
        <v>658.8383000000001</v>
      </c>
      <c r="L25" s="545">
        <f t="shared" si="4"/>
        <v>380.74825000000004</v>
      </c>
      <c r="M25" s="545">
        <f t="shared" si="4"/>
        <v>91.37955</v>
      </c>
      <c r="N25" s="545">
        <f t="shared" si="4"/>
        <v>289.3687</v>
      </c>
      <c r="O25" s="545">
        <f t="shared" si="4"/>
        <v>241.73325000000006</v>
      </c>
      <c r="P25" s="545">
        <f t="shared" si="4"/>
        <v>58.015950000000004</v>
      </c>
      <c r="Q25" s="545">
        <f t="shared" si="4"/>
        <v>183.71730000000002</v>
      </c>
      <c r="R25" s="545">
        <f t="shared" si="4"/>
        <v>622.4815000000001</v>
      </c>
      <c r="S25" s="545">
        <f t="shared" si="4"/>
        <v>149.39550000000006</v>
      </c>
      <c r="T25" s="545">
        <f t="shared" si="4"/>
        <v>473.08600000000007</v>
      </c>
      <c r="U25" s="545">
        <f t="shared" si="4"/>
        <v>1489.374</v>
      </c>
      <c r="V25" s="545">
        <f t="shared" si="4"/>
        <v>357.44970000000006</v>
      </c>
      <c r="W25" s="545">
        <f t="shared" si="4"/>
        <v>1131.9243000000001</v>
      </c>
    </row>
    <row r="26" spans="1:23" ht="12.75">
      <c r="A26" s="1259" t="s">
        <v>19</v>
      </c>
      <c r="B26" s="1260"/>
      <c r="C26" s="840">
        <f>C24+C25</f>
        <v>10249.926749999999</v>
      </c>
      <c r="D26" s="840">
        <f aca="true" t="shared" si="5" ref="D26:W26">D24+D25</f>
        <v>2459.9824200000003</v>
      </c>
      <c r="E26" s="840">
        <f t="shared" si="5"/>
        <v>7789.94433</v>
      </c>
      <c r="F26" s="840">
        <f t="shared" si="5"/>
        <v>7954.81575</v>
      </c>
      <c r="G26" s="840">
        <f t="shared" si="5"/>
        <v>1909.1557800000003</v>
      </c>
      <c r="H26" s="840">
        <f t="shared" si="5"/>
        <v>6045.659970000001</v>
      </c>
      <c r="I26" s="840">
        <f t="shared" si="5"/>
        <v>18204.7425</v>
      </c>
      <c r="J26" s="840">
        <f t="shared" si="5"/>
        <v>4369.138199999999</v>
      </c>
      <c r="K26" s="840">
        <f t="shared" si="5"/>
        <v>13835.6043</v>
      </c>
      <c r="L26" s="840">
        <f t="shared" si="5"/>
        <v>7995.71325</v>
      </c>
      <c r="M26" s="840">
        <f t="shared" si="5"/>
        <v>1918.97055</v>
      </c>
      <c r="N26" s="840">
        <f t="shared" si="5"/>
        <v>6076.7427</v>
      </c>
      <c r="O26" s="840">
        <f t="shared" si="5"/>
        <v>5076.398250000001</v>
      </c>
      <c r="P26" s="840">
        <f t="shared" si="5"/>
        <v>1218.33495</v>
      </c>
      <c r="Q26" s="840">
        <f t="shared" si="5"/>
        <v>3858.0633000000007</v>
      </c>
      <c r="R26" s="840">
        <f t="shared" si="5"/>
        <v>13072.1115</v>
      </c>
      <c r="S26" s="840">
        <f t="shared" si="5"/>
        <v>3137.305500000001</v>
      </c>
      <c r="T26" s="840">
        <f t="shared" si="5"/>
        <v>9934.806</v>
      </c>
      <c r="U26" s="840">
        <f t="shared" si="5"/>
        <v>31276.854</v>
      </c>
      <c r="V26" s="840">
        <f t="shared" si="5"/>
        <v>7506.443700000001</v>
      </c>
      <c r="W26" s="840">
        <f t="shared" si="5"/>
        <v>23770.4103</v>
      </c>
    </row>
    <row r="27" spans="1:2" ht="12.75">
      <c r="A27" s="182"/>
      <c r="B27" s="182"/>
    </row>
    <row r="29" ht="12.75">
      <c r="B29" s="167" t="s">
        <v>11</v>
      </c>
    </row>
    <row r="31" spans="1:21" ht="12.75">
      <c r="A31" s="1261"/>
      <c r="B31" s="1261"/>
      <c r="C31" s="1261"/>
      <c r="D31" s="1261"/>
      <c r="E31" s="1261"/>
      <c r="F31" s="1261"/>
      <c r="G31" s="1261"/>
      <c r="H31" s="1261"/>
      <c r="I31" s="1261"/>
      <c r="J31" s="795"/>
      <c r="K31" s="795"/>
      <c r="L31" s="795"/>
      <c r="M31" s="795"/>
      <c r="N31" s="795"/>
      <c r="O31" s="1261"/>
      <c r="P31" s="1261"/>
      <c r="Q31" s="1261"/>
      <c r="R31" s="1261"/>
      <c r="S31" s="1261"/>
      <c r="T31" s="1261"/>
      <c r="U31" s="1261"/>
    </row>
    <row r="33" spans="1:21" ht="15.75">
      <c r="A33" s="183" t="s">
        <v>12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R33" s="1262" t="s">
        <v>13</v>
      </c>
      <c r="S33" s="1262"/>
      <c r="T33" s="1262"/>
      <c r="U33" s="1262"/>
    </row>
    <row r="34" spans="1:21" ht="15.75">
      <c r="A34" s="1256" t="s">
        <v>14</v>
      </c>
      <c r="B34" s="1256"/>
      <c r="C34" s="1256"/>
      <c r="D34" s="1256"/>
      <c r="E34" s="1256"/>
      <c r="F34" s="1256"/>
      <c r="G34" s="1256"/>
      <c r="H34" s="1256"/>
      <c r="I34" s="1256"/>
      <c r="J34" s="1256"/>
      <c r="K34" s="1256"/>
      <c r="L34" s="1256"/>
      <c r="M34" s="1256"/>
      <c r="N34" s="1256"/>
      <c r="O34" s="1256"/>
      <c r="P34" s="1256"/>
      <c r="Q34" s="1256"/>
      <c r="R34" s="1256"/>
      <c r="S34" s="1256"/>
      <c r="T34" s="1256"/>
      <c r="U34" s="1256"/>
    </row>
    <row r="35" spans="1:21" ht="15.75">
      <c r="A35" s="1256" t="s">
        <v>15</v>
      </c>
      <c r="B35" s="1256"/>
      <c r="C35" s="1256"/>
      <c r="D35" s="1256"/>
      <c r="E35" s="1256"/>
      <c r="F35" s="1256"/>
      <c r="G35" s="1256"/>
      <c r="H35" s="1256"/>
      <c r="I35" s="1256"/>
      <c r="J35" s="1256"/>
      <c r="K35" s="1256"/>
      <c r="L35" s="1256"/>
      <c r="M35" s="1256"/>
      <c r="N35" s="1256"/>
      <c r="O35" s="1256"/>
      <c r="P35" s="1256"/>
      <c r="Q35" s="1256"/>
      <c r="R35" s="1256"/>
      <c r="S35" s="1256"/>
      <c r="T35" s="1256"/>
      <c r="U35" s="1256"/>
    </row>
    <row r="36" spans="18:23" ht="12.75">
      <c r="R36" s="1255" t="s">
        <v>84</v>
      </c>
      <c r="S36" s="1255"/>
      <c r="T36" s="1255"/>
      <c r="U36" s="1255"/>
      <c r="V36" s="1255"/>
      <c r="W36" s="1255"/>
    </row>
  </sheetData>
  <sheetProtection/>
  <mergeCells count="25">
    <mergeCell ref="A34:U34"/>
    <mergeCell ref="A35:U35"/>
    <mergeCell ref="R36:W36"/>
    <mergeCell ref="A14:B14"/>
    <mergeCell ref="A20:B20"/>
    <mergeCell ref="A26:B26"/>
    <mergeCell ref="A31:I31"/>
    <mergeCell ref="O31:U31"/>
    <mergeCell ref="R33:U33"/>
    <mergeCell ref="O1:U1"/>
    <mergeCell ref="B4:U4"/>
    <mergeCell ref="B6:U6"/>
    <mergeCell ref="A8:B8"/>
    <mergeCell ref="C11:E11"/>
    <mergeCell ref="F11:H11"/>
    <mergeCell ref="I11:K11"/>
    <mergeCell ref="L11:N11"/>
    <mergeCell ref="O11:Q11"/>
    <mergeCell ref="V9:W9"/>
    <mergeCell ref="A10:A11"/>
    <mergeCell ref="B10:B11"/>
    <mergeCell ref="C10:K10"/>
    <mergeCell ref="L10:T10"/>
    <mergeCell ref="U10:W11"/>
    <mergeCell ref="R11:T11"/>
  </mergeCells>
  <printOptions horizontalCentered="1"/>
  <pageMargins left="0.7086614173228347" right="0.7086614173228347" top="0.97" bottom="0" header="0.31496062992125984" footer="0.31496062992125984"/>
  <pageSetup fitToHeight="1" fitToWidth="1" horizontalDpi="600" verticalDpi="600" orientation="landscape" paperSize="9" scale="62" r:id="rId1"/>
  <colBreaks count="1" manualBreakCount="1">
    <brk id="23" max="65535" man="1"/>
  </colBreaks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L52"/>
  <sheetViews>
    <sheetView view="pageBreakPreview" zoomScale="78" zoomScaleSheetLayoutView="78" zoomScalePageLayoutView="0" workbookViewId="0" topLeftCell="C1">
      <selection activeCell="M1" sqref="M1:R16384"/>
    </sheetView>
  </sheetViews>
  <sheetFormatPr defaultColWidth="9.140625" defaultRowHeight="12.75"/>
  <cols>
    <col min="1" max="1" width="7.421875" style="158" customWidth="1"/>
    <col min="2" max="2" width="17.140625" style="158" customWidth="1"/>
    <col min="3" max="3" width="11.00390625" style="158" customWidth="1"/>
    <col min="4" max="4" width="10.00390625" style="158" customWidth="1"/>
    <col min="5" max="5" width="11.8515625" style="158" customWidth="1"/>
    <col min="6" max="6" width="12.140625" style="158" customWidth="1"/>
    <col min="7" max="7" width="13.28125" style="158" customWidth="1"/>
    <col min="8" max="8" width="14.57421875" style="158" customWidth="1"/>
    <col min="9" max="9" width="12.7109375" style="158" customWidth="1"/>
    <col min="10" max="10" width="14.00390625" style="158" customWidth="1"/>
    <col min="11" max="11" width="10.8515625" style="158" customWidth="1"/>
    <col min="12" max="12" width="10.7109375" style="158" customWidth="1"/>
    <col min="13" max="16384" width="9.140625" style="158" customWidth="1"/>
  </cols>
  <sheetData>
    <row r="1" spans="5:10" s="86" customFormat="1" ht="12.75">
      <c r="E1" s="1263"/>
      <c r="F1" s="1263"/>
      <c r="G1" s="1263"/>
      <c r="H1" s="1263"/>
      <c r="I1" s="1263"/>
      <c r="J1" s="533" t="s">
        <v>792</v>
      </c>
    </row>
    <row r="2" spans="1:10" s="86" customFormat="1" ht="15">
      <c r="A2" s="1264" t="s">
        <v>0</v>
      </c>
      <c r="B2" s="1264"/>
      <c r="C2" s="1264"/>
      <c r="D2" s="1264"/>
      <c r="E2" s="1264"/>
      <c r="F2" s="1264"/>
      <c r="G2" s="1264"/>
      <c r="H2" s="1264"/>
      <c r="I2" s="1264"/>
      <c r="J2" s="1264"/>
    </row>
    <row r="3" spans="1:10" s="86" customFormat="1" ht="20.25">
      <c r="A3" s="952" t="s">
        <v>859</v>
      </c>
      <c r="B3" s="952"/>
      <c r="C3" s="952"/>
      <c r="D3" s="952"/>
      <c r="E3" s="952"/>
      <c r="F3" s="952"/>
      <c r="G3" s="952"/>
      <c r="H3" s="952"/>
      <c r="I3" s="952"/>
      <c r="J3" s="952"/>
    </row>
    <row r="4" s="86" customFormat="1" ht="14.25" customHeight="1"/>
    <row r="5" spans="1:12" ht="19.5" customHeight="1">
      <c r="A5" s="1265" t="s">
        <v>1007</v>
      </c>
      <c r="B5" s="1265"/>
      <c r="C5" s="1265"/>
      <c r="D5" s="1265"/>
      <c r="E5" s="1265"/>
      <c r="F5" s="1265"/>
      <c r="G5" s="1265"/>
      <c r="H5" s="1265"/>
      <c r="I5" s="1265"/>
      <c r="J5" s="1265"/>
      <c r="K5" s="1265"/>
      <c r="L5" s="1265"/>
    </row>
    <row r="6" spans="1:10" ht="13.5" customHeight="1">
      <c r="A6" s="534"/>
      <c r="B6" s="534"/>
      <c r="C6" s="534"/>
      <c r="D6" s="534"/>
      <c r="E6" s="534"/>
      <c r="F6" s="534"/>
      <c r="G6" s="534"/>
      <c r="H6" s="534"/>
      <c r="I6" s="534"/>
      <c r="J6" s="534"/>
    </row>
    <row r="7" ht="0.75" customHeight="1"/>
    <row r="8" spans="1:12" ht="12.75">
      <c r="A8" s="1266" t="s">
        <v>793</v>
      </c>
      <c r="B8" s="1266"/>
      <c r="C8" s="535"/>
      <c r="H8" s="1267"/>
      <c r="I8" s="1267"/>
      <c r="J8" s="1267"/>
      <c r="K8" s="1268" t="s">
        <v>824</v>
      </c>
      <c r="L8" s="1268"/>
    </row>
    <row r="9" spans="1:12" ht="12.75">
      <c r="A9" s="1103" t="s">
        <v>2</v>
      </c>
      <c r="B9" s="1103" t="s">
        <v>37</v>
      </c>
      <c r="C9" s="1270" t="s">
        <v>794</v>
      </c>
      <c r="D9" s="1270"/>
      <c r="E9" s="1270" t="s">
        <v>133</v>
      </c>
      <c r="F9" s="1270"/>
      <c r="G9" s="1270" t="s">
        <v>795</v>
      </c>
      <c r="H9" s="1270"/>
      <c r="I9" s="1270" t="s">
        <v>134</v>
      </c>
      <c r="J9" s="1270"/>
      <c r="K9" s="1270" t="s">
        <v>135</v>
      </c>
      <c r="L9" s="1270"/>
    </row>
    <row r="10" spans="1:12" ht="39.75" customHeight="1">
      <c r="A10" s="1103"/>
      <c r="B10" s="1103"/>
      <c r="C10" s="91" t="s">
        <v>796</v>
      </c>
      <c r="D10" s="91" t="s">
        <v>797</v>
      </c>
      <c r="E10" s="91" t="s">
        <v>798</v>
      </c>
      <c r="F10" s="91" t="s">
        <v>799</v>
      </c>
      <c r="G10" s="91" t="s">
        <v>798</v>
      </c>
      <c r="H10" s="91" t="s">
        <v>799</v>
      </c>
      <c r="I10" s="91" t="s">
        <v>796</v>
      </c>
      <c r="J10" s="91" t="s">
        <v>797</v>
      </c>
      <c r="K10" s="91" t="s">
        <v>796</v>
      </c>
      <c r="L10" s="91" t="s">
        <v>797</v>
      </c>
    </row>
    <row r="11" spans="1:12" ht="12.7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</row>
    <row r="12" spans="1:12" ht="12.75">
      <c r="A12" s="262">
        <v>1</v>
      </c>
      <c r="B12" s="586" t="s">
        <v>898</v>
      </c>
      <c r="C12" s="548">
        <f>'AT5C_Drought_PLAN_vs_PRFM '!F12*100/1000000</f>
        <v>0</v>
      </c>
      <c r="D12" s="548">
        <f>'AT5C_Drought_PLAN_vs_PRFM '!H12*100/1000000</f>
        <v>0</v>
      </c>
      <c r="E12" s="548">
        <f>'AT5C_Drought_PLAN_vs_PRFM '!F12*4.78/100000</f>
        <v>0</v>
      </c>
      <c r="F12" s="548">
        <f>'AT5C_Drought_PLAN_vs_PRFM '!H12*4.78/100000</f>
        <v>0</v>
      </c>
      <c r="G12" s="548">
        <f>'AT5C_Drought_PLAN_vs_PRFM '!I12*4.78/100000</f>
        <v>0</v>
      </c>
      <c r="H12" s="548">
        <f>'AT5C_Drought_PLAN_vs_PRFM '!J12*4.78/100000</f>
        <v>0</v>
      </c>
      <c r="I12" s="548">
        <f>C12*750/100000</f>
        <v>0</v>
      </c>
      <c r="J12" s="548">
        <f>D12*750/100000</f>
        <v>0</v>
      </c>
      <c r="K12" s="548">
        <f>I12/4.34*3.73</f>
        <v>0</v>
      </c>
      <c r="L12" s="548">
        <f>K12</f>
        <v>0</v>
      </c>
    </row>
    <row r="13" spans="1:12" ht="12.75">
      <c r="A13" s="260">
        <v>2</v>
      </c>
      <c r="B13" s="586" t="s">
        <v>899</v>
      </c>
      <c r="C13" s="548">
        <f>'AT5C_Drought_PLAN_vs_PRFM '!F13*100/1000000</f>
        <v>0</v>
      </c>
      <c r="D13" s="548">
        <f>'AT5C_Drought_PLAN_vs_PRFM '!H13*100/1000000</f>
        <v>0</v>
      </c>
      <c r="E13" s="548">
        <f>'AT5C_Drought_PLAN_vs_PRFM '!F13*4.78/100000</f>
        <v>0</v>
      </c>
      <c r="F13" s="548">
        <f>'AT5C_Drought_PLAN_vs_PRFM '!H13*4.78/100000</f>
        <v>0</v>
      </c>
      <c r="G13" s="548">
        <f>'AT5C_Drought_PLAN_vs_PRFM '!I13*4.78/100000</f>
        <v>0</v>
      </c>
      <c r="H13" s="548">
        <f>'AT5C_Drought_PLAN_vs_PRFM '!J13*4.78/100000</f>
        <v>0</v>
      </c>
      <c r="I13" s="548">
        <f aca="true" t="shared" si="0" ref="I13:I38">C13*750/100000</f>
        <v>0</v>
      </c>
      <c r="J13" s="548">
        <f aca="true" t="shared" si="1" ref="J13:J38">D13*750/100000</f>
        <v>0</v>
      </c>
      <c r="K13" s="548">
        <f>I13/4.34*3.73</f>
        <v>0</v>
      </c>
      <c r="L13" s="548">
        <f aca="true" t="shared" si="2" ref="L13:L38">K13</f>
        <v>0</v>
      </c>
    </row>
    <row r="14" spans="1:12" ht="12.75">
      <c r="A14" s="260">
        <v>3</v>
      </c>
      <c r="B14" s="586" t="s">
        <v>839</v>
      </c>
      <c r="C14" s="548">
        <f>'AT5C_Drought_PLAN_vs_PRFM '!F14*100/1000000</f>
        <v>0</v>
      </c>
      <c r="D14" s="548">
        <f>'AT5C_Drought_PLAN_vs_PRFM '!H14*100/1000000</f>
        <v>0</v>
      </c>
      <c r="E14" s="548">
        <f>'AT5C_Drought_PLAN_vs_PRFM '!F14*4.78/100000</f>
        <v>0</v>
      </c>
      <c r="F14" s="548">
        <f>'AT5C_Drought_PLAN_vs_PRFM '!H14*4.78/100000</f>
        <v>0</v>
      </c>
      <c r="G14" s="548">
        <f>'AT5C_Drought_PLAN_vs_PRFM '!I14*4.78/100000</f>
        <v>0</v>
      </c>
      <c r="H14" s="548">
        <f>'AT5C_Drought_PLAN_vs_PRFM '!J14*4.78/100000</f>
        <v>0</v>
      </c>
      <c r="I14" s="548">
        <f t="shared" si="0"/>
        <v>0</v>
      </c>
      <c r="J14" s="548">
        <f t="shared" si="1"/>
        <v>0</v>
      </c>
      <c r="K14" s="548">
        <f>I14/4.34*3.73</f>
        <v>0</v>
      </c>
      <c r="L14" s="548">
        <f t="shared" si="2"/>
        <v>0</v>
      </c>
    </row>
    <row r="15" spans="1:12" ht="12.75">
      <c r="A15" s="260">
        <v>4</v>
      </c>
      <c r="B15" s="586" t="s">
        <v>743</v>
      </c>
      <c r="C15" s="548">
        <f>'AT5C_Drought_PLAN_vs_PRFM '!D15*100*46/1000000</f>
        <v>727.0714</v>
      </c>
      <c r="D15" s="548">
        <f>'AT5C_Drought_PLAN_vs_PRFM '!H15*100/1000000</f>
        <v>195.8321</v>
      </c>
      <c r="E15" s="548">
        <f>'AT5C_Drought_PLAN_vs_PRFM '!F15*4.78/100000</f>
        <v>347.5401292</v>
      </c>
      <c r="F15" s="548">
        <f>'AT5C_Drought_PLAN_vs_PRFM '!H15*4.78/100000</f>
        <v>93.60774380000001</v>
      </c>
      <c r="G15" s="548">
        <v>91.8</v>
      </c>
      <c r="H15" s="548">
        <v>90.5</v>
      </c>
      <c r="I15" s="548">
        <f t="shared" si="0"/>
        <v>5.4530355</v>
      </c>
      <c r="J15" s="548">
        <f t="shared" si="1"/>
        <v>1.46874075</v>
      </c>
      <c r="K15" s="548">
        <v>3.84</v>
      </c>
      <c r="L15" s="548">
        <f t="shared" si="2"/>
        <v>3.84</v>
      </c>
    </row>
    <row r="16" spans="1:12" ht="12.75">
      <c r="A16" s="260">
        <v>5</v>
      </c>
      <c r="B16" s="586" t="s">
        <v>748</v>
      </c>
      <c r="C16" s="548">
        <f>'AT5C_Drought_PLAN_vs_PRFM '!F16*100/1000000</f>
        <v>304.3222</v>
      </c>
      <c r="D16" s="548">
        <f>'AT5C_Drought_PLAN_vs_PRFM '!H16*100/1000000</f>
        <v>62.5281</v>
      </c>
      <c r="E16" s="548">
        <f>'AT5C_Drought_PLAN_vs_PRFM '!F16*4.78/100000</f>
        <v>145.4660116</v>
      </c>
      <c r="F16" s="548">
        <f>'AT5C_Drought_PLAN_vs_PRFM '!H16*4.78/100000</f>
        <v>29.888431800000003</v>
      </c>
      <c r="G16" s="548">
        <v>89.4</v>
      </c>
      <c r="H16" s="548">
        <v>89.4</v>
      </c>
      <c r="I16" s="548">
        <f t="shared" si="0"/>
        <v>2.2824165</v>
      </c>
      <c r="J16" s="548">
        <f t="shared" si="1"/>
        <v>0.46896075000000004</v>
      </c>
      <c r="K16" s="548">
        <v>1.23</v>
      </c>
      <c r="L16" s="548">
        <f t="shared" si="2"/>
        <v>1.23</v>
      </c>
    </row>
    <row r="17" spans="1:12" ht="12.75">
      <c r="A17" s="260">
        <v>6</v>
      </c>
      <c r="B17" s="586" t="s">
        <v>747</v>
      </c>
      <c r="C17" s="548">
        <f>'AT5C_Drought_PLAN_vs_PRFM '!F17*100/1000000</f>
        <v>520.5774</v>
      </c>
      <c r="D17" s="548">
        <f>'AT5C_Drought_PLAN_vs_PRFM '!H17*100/1000000</f>
        <v>218.3068</v>
      </c>
      <c r="E17" s="548">
        <f>'AT5C_Drought_PLAN_vs_PRFM '!F17*4.78/100000</f>
        <v>248.83599720000004</v>
      </c>
      <c r="F17" s="548">
        <f>'AT5C_Drought_PLAN_vs_PRFM '!H17*4.78/100000</f>
        <v>104.3506504</v>
      </c>
      <c r="G17" s="548">
        <v>84.12</v>
      </c>
      <c r="H17" s="548">
        <v>84.12</v>
      </c>
      <c r="I17" s="548">
        <f t="shared" si="0"/>
        <v>3.9043305</v>
      </c>
      <c r="J17" s="548">
        <f t="shared" si="1"/>
        <v>1.6373010000000001</v>
      </c>
      <c r="K17" s="548">
        <v>4.28</v>
      </c>
      <c r="L17" s="548">
        <f t="shared" si="2"/>
        <v>4.28</v>
      </c>
    </row>
    <row r="18" spans="1:12" ht="12.75">
      <c r="A18" s="260">
        <v>7</v>
      </c>
      <c r="B18" s="586" t="s">
        <v>737</v>
      </c>
      <c r="C18" s="548">
        <f>'AT5C_Drought_PLAN_vs_PRFM '!F18*100/1000000</f>
        <v>310.3896</v>
      </c>
      <c r="D18" s="548">
        <f>'AT5C_Drought_PLAN_vs_PRFM '!H18*100/1000000</f>
        <v>70.1989</v>
      </c>
      <c r="E18" s="548">
        <f>'AT5C_Drought_PLAN_vs_PRFM '!F18*4.78/100000</f>
        <v>148.36622880000002</v>
      </c>
      <c r="F18" s="548">
        <f>'AT5C_Drought_PLAN_vs_PRFM '!H18*4.78/100000</f>
        <v>33.55507420000001</v>
      </c>
      <c r="G18" s="548">
        <v>37.18</v>
      </c>
      <c r="H18" s="548">
        <v>37.176</v>
      </c>
      <c r="I18" s="548">
        <f t="shared" si="0"/>
        <v>2.327922</v>
      </c>
      <c r="J18" s="548">
        <f t="shared" si="1"/>
        <v>0.5264917499999999</v>
      </c>
      <c r="K18" s="548">
        <v>1.37</v>
      </c>
      <c r="L18" s="548">
        <f t="shared" si="2"/>
        <v>1.37</v>
      </c>
    </row>
    <row r="19" spans="1:12" ht="12.75">
      <c r="A19" s="260">
        <v>8</v>
      </c>
      <c r="B19" s="586" t="s">
        <v>749</v>
      </c>
      <c r="C19" s="548">
        <f>'AT5C_Drought_PLAN_vs_PRFM '!F19*100/1000000</f>
        <v>500.0568</v>
      </c>
      <c r="D19" s="548">
        <f>'AT5C_Drought_PLAN_vs_PRFM '!H19*100/1000000</f>
        <v>149.3455</v>
      </c>
      <c r="E19" s="548">
        <f>'AT5C_Drought_PLAN_vs_PRFM '!F19*4.78/100000</f>
        <v>239.02715040000004</v>
      </c>
      <c r="F19" s="548">
        <f>'AT5C_Drought_PLAN_vs_PRFM '!H19*4.78/100000</f>
        <v>71.38714900000001</v>
      </c>
      <c r="G19" s="548">
        <v>49.82</v>
      </c>
      <c r="H19" s="548">
        <v>49.824</v>
      </c>
      <c r="I19" s="548">
        <f t="shared" si="0"/>
        <v>3.7504260000000005</v>
      </c>
      <c r="J19" s="548">
        <f t="shared" si="1"/>
        <v>1.1200912499999998</v>
      </c>
      <c r="K19" s="548">
        <v>2.93</v>
      </c>
      <c r="L19" s="548">
        <f t="shared" si="2"/>
        <v>2.93</v>
      </c>
    </row>
    <row r="20" spans="1:12" ht="12.75">
      <c r="A20" s="260">
        <v>9</v>
      </c>
      <c r="B20" s="586" t="s">
        <v>834</v>
      </c>
      <c r="C20" s="548">
        <f>'AT5C_Drought_PLAN_vs_PRFM '!F20*100/1000000</f>
        <v>0</v>
      </c>
      <c r="D20" s="548">
        <f>'AT5C_Drought_PLAN_vs_PRFM '!H20*100/1000000</f>
        <v>0</v>
      </c>
      <c r="E20" s="548">
        <f>'AT5C_Drought_PLAN_vs_PRFM '!F20*4.78/100000</f>
        <v>0</v>
      </c>
      <c r="F20" s="548">
        <f>'AT5C_Drought_PLAN_vs_PRFM '!H20*4.78/100000</f>
        <v>0</v>
      </c>
      <c r="G20" s="548">
        <v>0</v>
      </c>
      <c r="H20" s="548">
        <v>0</v>
      </c>
      <c r="I20" s="548">
        <f t="shared" si="0"/>
        <v>0</v>
      </c>
      <c r="J20" s="548">
        <f t="shared" si="1"/>
        <v>0</v>
      </c>
      <c r="K20" s="548">
        <v>0</v>
      </c>
      <c r="L20" s="548">
        <f t="shared" si="2"/>
        <v>0</v>
      </c>
    </row>
    <row r="21" spans="1:12" ht="12.75">
      <c r="A21" s="260">
        <v>10</v>
      </c>
      <c r="B21" s="586" t="s">
        <v>739</v>
      </c>
      <c r="C21" s="548">
        <f>'AT5C_Drought_PLAN_vs_PRFM '!F21*100/1000000</f>
        <v>77.3766</v>
      </c>
      <c r="D21" s="548">
        <f>'AT5C_Drought_PLAN_vs_PRFM '!H21*100/1000000</f>
        <v>34.7319</v>
      </c>
      <c r="E21" s="548">
        <f>'AT5C_Drought_PLAN_vs_PRFM '!F21*4.78/100000</f>
        <v>36.9860148</v>
      </c>
      <c r="F21" s="548">
        <f>'AT5C_Drought_PLAN_vs_PRFM '!H21*4.78/100000</f>
        <v>16.6018482</v>
      </c>
      <c r="G21" s="548">
        <v>17.4</v>
      </c>
      <c r="H21" s="548">
        <v>17.4</v>
      </c>
      <c r="I21" s="548">
        <f t="shared" si="0"/>
        <v>0.5803245</v>
      </c>
      <c r="J21" s="548">
        <f t="shared" si="1"/>
        <v>0.26048925</v>
      </c>
      <c r="K21" s="548">
        <v>0.68</v>
      </c>
      <c r="L21" s="548">
        <f t="shared" si="2"/>
        <v>0.68</v>
      </c>
    </row>
    <row r="22" spans="1:12" ht="12.75">
      <c r="A22" s="260">
        <v>11</v>
      </c>
      <c r="B22" s="586" t="s">
        <v>900</v>
      </c>
      <c r="C22" s="548">
        <f>'AT5C_Drought_PLAN_vs_PRFM '!F22*100/1000000</f>
        <v>0</v>
      </c>
      <c r="D22" s="548">
        <f>'AT5C_Drought_PLAN_vs_PRFM '!H22*100/1000000</f>
        <v>0</v>
      </c>
      <c r="E22" s="548">
        <f>'AT5C_Drought_PLAN_vs_PRFM '!F22*4.78/100000</f>
        <v>0</v>
      </c>
      <c r="F22" s="548">
        <f>'AT5C_Drought_PLAN_vs_PRFM '!H22*4.78/100000</f>
        <v>0</v>
      </c>
      <c r="G22" s="548">
        <v>0</v>
      </c>
      <c r="H22" s="548">
        <v>0</v>
      </c>
      <c r="I22" s="548">
        <f t="shared" si="0"/>
        <v>0</v>
      </c>
      <c r="J22" s="548">
        <f t="shared" si="1"/>
        <v>0</v>
      </c>
      <c r="K22" s="548">
        <v>0</v>
      </c>
      <c r="L22" s="548">
        <f t="shared" si="2"/>
        <v>0</v>
      </c>
    </row>
    <row r="23" spans="1:12" ht="12.75">
      <c r="A23" s="260">
        <v>12</v>
      </c>
      <c r="B23" s="586" t="s">
        <v>731</v>
      </c>
      <c r="C23" s="548">
        <f>'AT5C_Drought_PLAN_vs_PRFM '!F23*100/1000000</f>
        <v>214.7188</v>
      </c>
      <c r="D23" s="548">
        <f>'AT5C_Drought_PLAN_vs_PRFM '!H23*100/1000000</f>
        <v>65.3251</v>
      </c>
      <c r="E23" s="548">
        <f>'AT5C_Drought_PLAN_vs_PRFM '!F23*4.78/100000</f>
        <v>102.63558640000001</v>
      </c>
      <c r="F23" s="548">
        <f>'AT5C_Drought_PLAN_vs_PRFM '!H23*4.78/100000</f>
        <v>31.225397800000003</v>
      </c>
      <c r="G23" s="548">
        <v>51.12</v>
      </c>
      <c r="H23" s="548">
        <v>51.12</v>
      </c>
      <c r="I23" s="548">
        <f t="shared" si="0"/>
        <v>1.6103909999999997</v>
      </c>
      <c r="J23" s="548">
        <f t="shared" si="1"/>
        <v>0.48993825</v>
      </c>
      <c r="K23" s="548">
        <v>1.28</v>
      </c>
      <c r="L23" s="548">
        <f t="shared" si="2"/>
        <v>1.28</v>
      </c>
    </row>
    <row r="24" spans="1:12" ht="12.75">
      <c r="A24" s="260">
        <v>13</v>
      </c>
      <c r="B24" s="586" t="s">
        <v>742</v>
      </c>
      <c r="C24" s="548">
        <f>'AT5C_Drought_PLAN_vs_PRFM '!F24*100/1000000</f>
        <v>198.5268</v>
      </c>
      <c r="D24" s="548">
        <f>'AT5C_Drought_PLAN_vs_PRFM '!H24*100/1000000</f>
        <v>90.3775</v>
      </c>
      <c r="E24" s="548">
        <f>'AT5C_Drought_PLAN_vs_PRFM '!F24*4.78/100000</f>
        <v>94.89581040000002</v>
      </c>
      <c r="F24" s="548">
        <f>'AT5C_Drought_PLAN_vs_PRFM '!H24*4.78/100000</f>
        <v>43.200445</v>
      </c>
      <c r="G24" s="548">
        <v>42.1</v>
      </c>
      <c r="H24" s="548">
        <v>42.096</v>
      </c>
      <c r="I24" s="548">
        <f t="shared" si="0"/>
        <v>1.4889510000000001</v>
      </c>
      <c r="J24" s="548">
        <f t="shared" si="1"/>
        <v>0.67783125</v>
      </c>
      <c r="K24" s="548">
        <v>1.77</v>
      </c>
      <c r="L24" s="548">
        <f t="shared" si="2"/>
        <v>1.77</v>
      </c>
    </row>
    <row r="25" spans="1:12" ht="12.75">
      <c r="A25" s="260">
        <v>14</v>
      </c>
      <c r="B25" s="586" t="s">
        <v>740</v>
      </c>
      <c r="C25" s="548">
        <f>'AT5C_Drought_PLAN_vs_PRFM '!F25*100/1000000</f>
        <v>0.0184</v>
      </c>
      <c r="D25" s="548">
        <f>'AT5C_Drought_PLAN_vs_PRFM '!H25*100/1000000</f>
        <v>87.8512</v>
      </c>
      <c r="E25" s="548">
        <f>'AT5C_Drought_PLAN_vs_PRFM '!F25*4.78/100000</f>
        <v>0.008795200000000001</v>
      </c>
      <c r="F25" s="548">
        <f>'AT5C_Drought_PLAN_vs_PRFM '!H25*4.78/100000</f>
        <v>41.9928736</v>
      </c>
      <c r="G25" s="548">
        <v>45.02</v>
      </c>
      <c r="H25" s="548">
        <v>45.024</v>
      </c>
      <c r="I25" s="548">
        <f t="shared" si="0"/>
        <v>0.000138</v>
      </c>
      <c r="J25" s="548">
        <f t="shared" si="1"/>
        <v>0.6588840000000001</v>
      </c>
      <c r="K25" s="548">
        <v>1.72</v>
      </c>
      <c r="L25" s="548">
        <f t="shared" si="2"/>
        <v>1.72</v>
      </c>
    </row>
    <row r="26" spans="1:12" ht="12.75">
      <c r="A26" s="260">
        <v>15</v>
      </c>
      <c r="B26" s="586" t="s">
        <v>734</v>
      </c>
      <c r="C26" s="548">
        <f>'AT5C_Drought_PLAN_vs_PRFM '!F26*100/1000000</f>
        <v>140.6404</v>
      </c>
      <c r="D26" s="548">
        <f>'AT5C_Drought_PLAN_vs_PRFM '!H26*100/1000000</f>
        <v>63.184</v>
      </c>
      <c r="E26" s="548">
        <f>'AT5C_Drought_PLAN_vs_PRFM '!F26*4.78/100000</f>
        <v>67.2261112</v>
      </c>
      <c r="F26" s="548">
        <f>'AT5C_Drought_PLAN_vs_PRFM '!H26*4.78/100000</f>
        <v>30.201952000000002</v>
      </c>
      <c r="G26" s="548">
        <v>45</v>
      </c>
      <c r="H26" s="548">
        <v>44.38</v>
      </c>
      <c r="I26" s="548">
        <f t="shared" si="0"/>
        <v>1.054803</v>
      </c>
      <c r="J26" s="548">
        <f t="shared" si="1"/>
        <v>0.47388</v>
      </c>
      <c r="K26" s="548">
        <v>1.24</v>
      </c>
      <c r="L26" s="548">
        <f t="shared" si="2"/>
        <v>1.24</v>
      </c>
    </row>
    <row r="27" spans="1:12" ht="12.75">
      <c r="A27" s="260">
        <v>16</v>
      </c>
      <c r="B27" s="586" t="s">
        <v>741</v>
      </c>
      <c r="C27" s="548">
        <f>'AT5C_Drought_PLAN_vs_PRFM '!F27*100/1000000</f>
        <v>0.0184</v>
      </c>
      <c r="D27" s="548">
        <f>'AT5C_Drought_PLAN_vs_PRFM '!H27*100/1000000</f>
        <v>186.6425</v>
      </c>
      <c r="E27" s="548">
        <f>'AT5C_Drought_PLAN_vs_PRFM '!F27*4.78/100000</f>
        <v>0.008795200000000001</v>
      </c>
      <c r="F27" s="548">
        <f>'AT5C_Drought_PLAN_vs_PRFM '!H27*4.78/100000</f>
        <v>89.215115</v>
      </c>
      <c r="G27" s="548">
        <v>70.37</v>
      </c>
      <c r="H27" s="548">
        <v>70.368</v>
      </c>
      <c r="I27" s="548">
        <f t="shared" si="0"/>
        <v>0.000138</v>
      </c>
      <c r="J27" s="548">
        <f t="shared" si="1"/>
        <v>1.39981875</v>
      </c>
      <c r="K27" s="548">
        <v>3.66</v>
      </c>
      <c r="L27" s="548">
        <f t="shared" si="2"/>
        <v>3.66</v>
      </c>
    </row>
    <row r="28" spans="1:12" ht="12.75">
      <c r="A28" s="260">
        <v>17</v>
      </c>
      <c r="B28" s="586" t="s">
        <v>733</v>
      </c>
      <c r="C28" s="548">
        <f>'AT5C_Drought_PLAN_vs_PRFM '!F28*100/1000000</f>
        <v>202.584</v>
      </c>
      <c r="D28" s="548">
        <f>'AT5C_Drought_PLAN_vs_PRFM '!H28*100/1000000</f>
        <v>75.6185</v>
      </c>
      <c r="E28" s="548">
        <f>'AT5C_Drought_PLAN_vs_PRFM '!F28*4.78/100000</f>
        <v>96.83515200000001</v>
      </c>
      <c r="F28" s="548">
        <f>'AT5C_Drought_PLAN_vs_PRFM '!H28*4.78/100000</f>
        <v>36.145643</v>
      </c>
      <c r="G28" s="548">
        <v>36.98</v>
      </c>
      <c r="H28" s="548">
        <v>36.984</v>
      </c>
      <c r="I28" s="548">
        <f t="shared" si="0"/>
        <v>1.51938</v>
      </c>
      <c r="J28" s="548">
        <f t="shared" si="1"/>
        <v>0.56713875</v>
      </c>
      <c r="K28" s="548">
        <v>1.48</v>
      </c>
      <c r="L28" s="548">
        <f t="shared" si="2"/>
        <v>1.48</v>
      </c>
    </row>
    <row r="29" spans="1:12" ht="12.75">
      <c r="A29" s="260">
        <v>18</v>
      </c>
      <c r="B29" s="586" t="s">
        <v>735</v>
      </c>
      <c r="C29" s="548">
        <f>'AT5C_Drought_PLAN_vs_PRFM '!F29*100/1000000</f>
        <v>0.0138</v>
      </c>
      <c r="D29" s="548">
        <f>'AT5C_Drought_PLAN_vs_PRFM '!H29*100/1000000</f>
        <v>70.6375</v>
      </c>
      <c r="E29" s="548">
        <f>'AT5C_Drought_PLAN_vs_PRFM '!F29*4.78/100000</f>
        <v>0.0065964</v>
      </c>
      <c r="F29" s="548">
        <f>'AT5C_Drought_PLAN_vs_PRFM '!H29*4.78/100000</f>
        <v>33.764725</v>
      </c>
      <c r="G29" s="548">
        <v>83.69</v>
      </c>
      <c r="H29" s="548">
        <v>83.688</v>
      </c>
      <c r="I29" s="548">
        <f t="shared" si="0"/>
        <v>0.0001035</v>
      </c>
      <c r="J29" s="548">
        <f t="shared" si="1"/>
        <v>0.52978125</v>
      </c>
      <c r="K29" s="548">
        <v>1.38</v>
      </c>
      <c r="L29" s="548">
        <f t="shared" si="2"/>
        <v>1.38</v>
      </c>
    </row>
    <row r="30" spans="1:12" ht="12.75">
      <c r="A30" s="260">
        <v>19</v>
      </c>
      <c r="B30" s="586" t="s">
        <v>732</v>
      </c>
      <c r="C30" s="548">
        <f>'AT5C_Drought_PLAN_vs_PRFM '!F30*100/1000000</f>
        <v>80.661</v>
      </c>
      <c r="D30" s="548">
        <f>'AT5C_Drought_PLAN_vs_PRFM '!H30*100/1000000</f>
        <v>38.5156</v>
      </c>
      <c r="E30" s="548">
        <f>'AT5C_Drought_PLAN_vs_PRFM '!F30*4.78/100000</f>
        <v>38.555958000000004</v>
      </c>
      <c r="F30" s="548">
        <f>'AT5C_Drought_PLAN_vs_PRFM '!H30*4.78/100000</f>
        <v>18.410456800000002</v>
      </c>
      <c r="G30" s="548">
        <v>70.97</v>
      </c>
      <c r="H30" s="548">
        <v>70.968</v>
      </c>
      <c r="I30" s="548">
        <f t="shared" si="0"/>
        <v>0.6049575</v>
      </c>
      <c r="J30" s="548">
        <f t="shared" si="1"/>
        <v>0.288867</v>
      </c>
      <c r="K30" s="548">
        <v>0.76</v>
      </c>
      <c r="L30" s="548">
        <f t="shared" si="2"/>
        <v>0.76</v>
      </c>
    </row>
    <row r="31" spans="1:12" ht="12.75">
      <c r="A31" s="260">
        <v>20</v>
      </c>
      <c r="B31" s="586" t="s">
        <v>836</v>
      </c>
      <c r="C31" s="548">
        <f>'AT5C_Drought_PLAN_vs_PRFM '!F31*100/1000000</f>
        <v>0</v>
      </c>
      <c r="D31" s="548">
        <f>'AT5C_Drought_PLAN_vs_PRFM '!H31*100/1000000</f>
        <v>0</v>
      </c>
      <c r="E31" s="548">
        <f>'AT5C_Drought_PLAN_vs_PRFM '!F31*4.78/100000</f>
        <v>0</v>
      </c>
      <c r="F31" s="548">
        <f>'AT5C_Drought_PLAN_vs_PRFM '!H31*4.78/100000</f>
        <v>0</v>
      </c>
      <c r="G31" s="549">
        <v>0</v>
      </c>
      <c r="H31" s="548">
        <v>0</v>
      </c>
      <c r="I31" s="548">
        <f t="shared" si="0"/>
        <v>0</v>
      </c>
      <c r="J31" s="548">
        <f t="shared" si="1"/>
        <v>0</v>
      </c>
      <c r="K31" s="548">
        <v>0</v>
      </c>
      <c r="L31" s="548">
        <f t="shared" si="2"/>
        <v>0</v>
      </c>
    </row>
    <row r="32" spans="1:12" ht="12.75">
      <c r="A32" s="260">
        <v>21</v>
      </c>
      <c r="B32" s="586" t="s">
        <v>729</v>
      </c>
      <c r="C32" s="548">
        <f>'AT5C_Drought_PLAN_vs_PRFM '!F32*100/1000000</f>
        <v>374.9506</v>
      </c>
      <c r="D32" s="548">
        <f>'AT5C_Drought_PLAN_vs_PRFM '!H32*100/1000000</f>
        <v>129.2813</v>
      </c>
      <c r="E32" s="548">
        <f>'AT5C_Drought_PLAN_vs_PRFM '!F32*4.78/100000</f>
        <v>179.2263868</v>
      </c>
      <c r="F32" s="548">
        <f>'AT5C_Drought_PLAN_vs_PRFM '!H32*4.78/100000</f>
        <v>61.796461400000005</v>
      </c>
      <c r="G32" s="548">
        <v>54.96</v>
      </c>
      <c r="H32" s="548">
        <v>54.96</v>
      </c>
      <c r="I32" s="548">
        <f t="shared" si="0"/>
        <v>2.8121295</v>
      </c>
      <c r="J32" s="548">
        <f t="shared" si="1"/>
        <v>0.9696097499999999</v>
      </c>
      <c r="K32" s="548">
        <v>2.53</v>
      </c>
      <c r="L32" s="548">
        <f t="shared" si="2"/>
        <v>2.53</v>
      </c>
    </row>
    <row r="33" spans="1:12" ht="12.75">
      <c r="A33" s="260">
        <v>22</v>
      </c>
      <c r="B33" s="586" t="s">
        <v>746</v>
      </c>
      <c r="C33" s="548">
        <f>'AT5C_Drought_PLAN_vs_PRFM '!F33*100/1000000</f>
        <v>368.6486</v>
      </c>
      <c r="D33" s="548">
        <f>'AT5C_Drought_PLAN_vs_PRFM '!H33*100/1000000</f>
        <v>155.0783</v>
      </c>
      <c r="E33" s="548">
        <f>'AT5C_Drought_PLAN_vs_PRFM '!F33*4.78/100000</f>
        <v>176.21403080000002</v>
      </c>
      <c r="F33" s="548">
        <f>'AT5C_Drought_PLAN_vs_PRFM '!H33*4.78/100000</f>
        <v>74.1274274</v>
      </c>
      <c r="G33" s="548">
        <v>63.72</v>
      </c>
      <c r="H33" s="548">
        <v>63.72</v>
      </c>
      <c r="I33" s="548">
        <f t="shared" si="0"/>
        <v>2.7648645000000003</v>
      </c>
      <c r="J33" s="548">
        <f t="shared" si="1"/>
        <v>1.16308725</v>
      </c>
      <c r="K33" s="548">
        <v>3.03</v>
      </c>
      <c r="L33" s="548">
        <f t="shared" si="2"/>
        <v>3.03</v>
      </c>
    </row>
    <row r="34" spans="1:12" ht="12.75">
      <c r="A34" s="260">
        <v>23</v>
      </c>
      <c r="B34" s="586" t="s">
        <v>738</v>
      </c>
      <c r="C34" s="548">
        <f>'AT5C_Drought_PLAN_vs_PRFM '!F34*100/1000000</f>
        <v>0.0644</v>
      </c>
      <c r="D34" s="548">
        <f>'AT5C_Drought_PLAN_vs_PRFM '!H34*100/1000000</f>
        <v>96.2489</v>
      </c>
      <c r="E34" s="548">
        <f>'AT5C_Drought_PLAN_vs_PRFM '!F34*4.78/100000</f>
        <v>0.0307832</v>
      </c>
      <c r="F34" s="548">
        <f>'AT5C_Drought_PLAN_vs_PRFM '!H34*4.78/100000</f>
        <v>46.0069742</v>
      </c>
      <c r="G34" s="548">
        <v>42.31</v>
      </c>
      <c r="H34" s="548">
        <v>42.312</v>
      </c>
      <c r="I34" s="548">
        <f t="shared" si="0"/>
        <v>0.000483</v>
      </c>
      <c r="J34" s="548">
        <f t="shared" si="1"/>
        <v>0.72186675</v>
      </c>
      <c r="K34" s="548">
        <v>1.89</v>
      </c>
      <c r="L34" s="548">
        <f t="shared" si="2"/>
        <v>1.89</v>
      </c>
    </row>
    <row r="35" spans="1:12" ht="12.75">
      <c r="A35" s="260">
        <v>24</v>
      </c>
      <c r="B35" s="586" t="s">
        <v>730</v>
      </c>
      <c r="C35" s="548">
        <f>'AT5C_Drought_PLAN_vs_PRFM '!F35*100/1000000</f>
        <v>252.2272</v>
      </c>
      <c r="D35" s="548">
        <f>'AT5C_Drought_PLAN_vs_PRFM '!H35*100/1000000</f>
        <v>127.2199</v>
      </c>
      <c r="E35" s="548">
        <f>'AT5C_Drought_PLAN_vs_PRFM '!F35*4.78/100000</f>
        <v>120.5646016</v>
      </c>
      <c r="F35" s="548">
        <f>'AT5C_Drought_PLAN_vs_PRFM '!H35*4.78/100000</f>
        <v>60.811112200000004</v>
      </c>
      <c r="G35" s="548">
        <v>62.14</v>
      </c>
      <c r="H35" s="548">
        <v>62.136</v>
      </c>
      <c r="I35" s="548">
        <f t="shared" si="0"/>
        <v>1.891704</v>
      </c>
      <c r="J35" s="548">
        <f t="shared" si="1"/>
        <v>0.9541492500000001</v>
      </c>
      <c r="K35" s="548">
        <v>2.49</v>
      </c>
      <c r="L35" s="548">
        <f t="shared" si="2"/>
        <v>2.49</v>
      </c>
    </row>
    <row r="36" spans="1:12" ht="12.75">
      <c r="A36" s="260">
        <v>25</v>
      </c>
      <c r="B36" s="586" t="s">
        <v>736</v>
      </c>
      <c r="C36" s="548">
        <f>'AT5C_Drought_PLAN_vs_PRFM '!F36*100/1000000</f>
        <v>123.2156</v>
      </c>
      <c r="D36" s="548">
        <f>'AT5C_Drought_PLAN_vs_PRFM '!H36*100/1000000</f>
        <v>62.9322</v>
      </c>
      <c r="E36" s="548">
        <f>'AT5C_Drought_PLAN_vs_PRFM '!F36*4.78/100000</f>
        <v>58.89705680000001</v>
      </c>
      <c r="F36" s="548">
        <f>'AT5C_Drought_PLAN_vs_PRFM '!H36*4.78/100000</f>
        <v>30.081591600000003</v>
      </c>
      <c r="G36" s="548">
        <v>25.3</v>
      </c>
      <c r="H36" s="548">
        <v>25.296</v>
      </c>
      <c r="I36" s="548">
        <f t="shared" si="0"/>
        <v>0.924117</v>
      </c>
      <c r="J36" s="548">
        <f t="shared" si="1"/>
        <v>0.4719915</v>
      </c>
      <c r="K36" s="548">
        <v>1.24</v>
      </c>
      <c r="L36" s="548">
        <f t="shared" si="2"/>
        <v>1.24</v>
      </c>
    </row>
    <row r="37" spans="1:12" ht="12.75">
      <c r="A37" s="260">
        <v>26</v>
      </c>
      <c r="B37" s="586" t="s">
        <v>744</v>
      </c>
      <c r="C37" s="548">
        <f>'AT5C_Drought_PLAN_vs_PRFM '!F37*100/1000000</f>
        <v>138.897</v>
      </c>
      <c r="D37" s="548">
        <f>'AT5C_Drought_PLAN_vs_PRFM '!H37*100/1000000</f>
        <v>70.2324</v>
      </c>
      <c r="E37" s="548">
        <f>'AT5C_Drought_PLAN_vs_PRFM '!F37*4.78/100000</f>
        <v>66.39276600000001</v>
      </c>
      <c r="F37" s="548">
        <f>'AT5C_Drought_PLAN_vs_PRFM '!H37*4.78/100000</f>
        <v>33.5710872</v>
      </c>
      <c r="G37" s="548">
        <v>23.69</v>
      </c>
      <c r="H37" s="548">
        <v>23.688</v>
      </c>
      <c r="I37" s="548">
        <f t="shared" si="0"/>
        <v>1.0417275</v>
      </c>
      <c r="J37" s="548">
        <f t="shared" si="1"/>
        <v>0.526743</v>
      </c>
      <c r="K37" s="548">
        <v>1.37</v>
      </c>
      <c r="L37" s="548">
        <f t="shared" si="2"/>
        <v>1.37</v>
      </c>
    </row>
    <row r="38" spans="1:12" ht="12.75">
      <c r="A38" s="262">
        <v>27</v>
      </c>
      <c r="B38" s="586" t="s">
        <v>745</v>
      </c>
      <c r="C38" s="548">
        <f>'AT5C_Drought_PLAN_vs_PRFM '!F38*100/1000000</f>
        <v>317.101</v>
      </c>
      <c r="D38" s="548">
        <f>'AT5C_Drought_PLAN_vs_PRFM '!H38*100/1000000</f>
        <v>104.6378</v>
      </c>
      <c r="E38" s="548">
        <f>'AT5C_Drought_PLAN_vs_PRFM '!F38*4.78/100000</f>
        <v>151.57427800000002</v>
      </c>
      <c r="F38" s="548">
        <f>'AT5C_Drought_PLAN_vs_PRFM '!H38*4.78/100000</f>
        <v>50.0168684</v>
      </c>
      <c r="G38" s="548">
        <v>42.94</v>
      </c>
      <c r="H38" s="548">
        <v>42.936</v>
      </c>
      <c r="I38" s="548">
        <f t="shared" si="0"/>
        <v>2.3782575</v>
      </c>
      <c r="J38" s="548">
        <f t="shared" si="1"/>
        <v>0.7847835000000001</v>
      </c>
      <c r="K38" s="548">
        <v>2.04</v>
      </c>
      <c r="L38" s="548">
        <f t="shared" si="2"/>
        <v>2.04</v>
      </c>
    </row>
    <row r="39" spans="1:12" ht="12.75">
      <c r="A39" s="867" t="s">
        <v>19</v>
      </c>
      <c r="B39" s="869"/>
      <c r="C39" s="550">
        <f>SUM(C12:C38)</f>
        <v>4852.08</v>
      </c>
      <c r="D39" s="550">
        <f aca="true" t="shared" si="3" ref="D39:L39">SUM(D12:D38)</f>
        <v>2154.726</v>
      </c>
      <c r="E39" s="550">
        <f t="shared" si="3"/>
        <v>2319.2942400000006</v>
      </c>
      <c r="F39" s="550">
        <f t="shared" si="3"/>
        <v>1029.959028</v>
      </c>
      <c r="G39" s="550">
        <f t="shared" si="3"/>
        <v>1130.0300000000002</v>
      </c>
      <c r="H39" s="550">
        <f t="shared" si="3"/>
        <v>1128.096</v>
      </c>
      <c r="I39" s="550">
        <f t="shared" si="3"/>
        <v>36.390600000000006</v>
      </c>
      <c r="J39" s="550">
        <f t="shared" si="3"/>
        <v>16.160445</v>
      </c>
      <c r="K39" s="550">
        <f t="shared" si="3"/>
        <v>42.21</v>
      </c>
      <c r="L39" s="550">
        <f t="shared" si="3"/>
        <v>42.21</v>
      </c>
    </row>
    <row r="40" spans="1:10" ht="12.75">
      <c r="A40" s="95"/>
      <c r="B40" s="537"/>
      <c r="C40" s="537"/>
      <c r="D40" s="536"/>
      <c r="E40" s="536"/>
      <c r="F40" s="536"/>
      <c r="G40" s="536"/>
      <c r="H40" s="536"/>
      <c r="I40" s="536"/>
      <c r="J40" s="536"/>
    </row>
    <row r="41" spans="1:10" ht="12.75">
      <c r="A41" s="95"/>
      <c r="B41" s="537"/>
      <c r="C41" s="537"/>
      <c r="D41" s="536"/>
      <c r="E41" s="536"/>
      <c r="F41" s="536"/>
      <c r="G41" s="536"/>
      <c r="H41" s="536"/>
      <c r="I41" s="536"/>
      <c r="J41" s="536"/>
    </row>
    <row r="42" spans="1:10" ht="12.75">
      <c r="A42" s="95"/>
      <c r="B42" s="537"/>
      <c r="C42" s="537"/>
      <c r="D42" s="536"/>
      <c r="E42" s="536"/>
      <c r="F42" s="536"/>
      <c r="G42" s="536"/>
      <c r="H42" s="536"/>
      <c r="I42" s="536"/>
      <c r="J42" s="536"/>
    </row>
    <row r="43" spans="1:10" ht="15.75" customHeight="1">
      <c r="A43" s="98" t="s">
        <v>12</v>
      </c>
      <c r="B43" s="98"/>
      <c r="C43" s="98"/>
      <c r="D43" s="98"/>
      <c r="E43" s="98"/>
      <c r="F43" s="98"/>
      <c r="G43" s="98"/>
      <c r="I43" s="1271" t="s">
        <v>13</v>
      </c>
      <c r="J43" s="1271"/>
    </row>
    <row r="44" spans="1:10" ht="12.75" customHeight="1">
      <c r="A44" s="1272" t="s">
        <v>800</v>
      </c>
      <c r="B44" s="1272"/>
      <c r="C44" s="1272"/>
      <c r="D44" s="1272"/>
      <c r="E44" s="1272"/>
      <c r="F44" s="1272"/>
      <c r="G44" s="1272"/>
      <c r="H44" s="1272"/>
      <c r="I44" s="1272"/>
      <c r="J44" s="1272"/>
    </row>
    <row r="45" spans="1:11" ht="12.75" customHeight="1">
      <c r="A45" s="538"/>
      <c r="B45" s="538"/>
      <c r="C45" s="538"/>
      <c r="D45" s="538"/>
      <c r="E45" s="538"/>
      <c r="F45" s="538"/>
      <c r="G45" s="538"/>
      <c r="H45" s="1271" t="s">
        <v>801</v>
      </c>
      <c r="I45" s="1271"/>
      <c r="J45" s="1271"/>
      <c r="K45" s="1271"/>
    </row>
    <row r="46" spans="1:10" ht="12.75">
      <c r="A46" s="98"/>
      <c r="B46" s="98"/>
      <c r="C46" s="98"/>
      <c r="E46" s="98"/>
      <c r="H46" s="1266" t="s">
        <v>84</v>
      </c>
      <c r="I46" s="1266"/>
      <c r="J46" s="1266"/>
    </row>
    <row r="50" spans="1:10" ht="12.75">
      <c r="A50" s="1269"/>
      <c r="B50" s="1269"/>
      <c r="C50" s="1269"/>
      <c r="D50" s="1269"/>
      <c r="E50" s="1269"/>
      <c r="F50" s="1269"/>
      <c r="G50" s="1269"/>
      <c r="H50" s="1269"/>
      <c r="I50" s="1269"/>
      <c r="J50" s="1269"/>
    </row>
    <row r="52" spans="1:10" ht="12.75">
      <c r="A52" s="1269"/>
      <c r="B52" s="1269"/>
      <c r="C52" s="1269"/>
      <c r="D52" s="1269"/>
      <c r="E52" s="1269"/>
      <c r="F52" s="1269"/>
      <c r="G52" s="1269"/>
      <c r="H52" s="1269"/>
      <c r="I52" s="1269"/>
      <c r="J52" s="1269"/>
    </row>
  </sheetData>
  <sheetProtection/>
  <mergeCells count="21">
    <mergeCell ref="E9:F9"/>
    <mergeCell ref="G9:H9"/>
    <mergeCell ref="I9:J9"/>
    <mergeCell ref="A39:B39"/>
    <mergeCell ref="A52:J52"/>
    <mergeCell ref="K9:L9"/>
    <mergeCell ref="I43:J43"/>
    <mergeCell ref="A44:J44"/>
    <mergeCell ref="H45:K45"/>
    <mergeCell ref="H46:J46"/>
    <mergeCell ref="A50:J50"/>
    <mergeCell ref="A9:A10"/>
    <mergeCell ref="B9:B10"/>
    <mergeCell ref="C9:D9"/>
    <mergeCell ref="E1:I1"/>
    <mergeCell ref="A2:J2"/>
    <mergeCell ref="A3:J3"/>
    <mergeCell ref="A5:L5"/>
    <mergeCell ref="A8:B8"/>
    <mergeCell ref="H8:J8"/>
    <mergeCell ref="K8:L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AD61"/>
  <sheetViews>
    <sheetView view="pageBreakPreview" zoomScale="80" zoomScaleSheetLayoutView="80" zoomScalePageLayoutView="0" workbookViewId="0" topLeftCell="A20">
      <selection activeCell="L9" sqref="L9:L37"/>
    </sheetView>
  </sheetViews>
  <sheetFormatPr defaultColWidth="9.140625" defaultRowHeight="12.75"/>
  <cols>
    <col min="2" max="2" width="8.28125" style="583" customWidth="1"/>
    <col min="3" max="3" width="15.57421875" style="0" customWidth="1"/>
    <col min="4" max="4" width="17.28125" style="0" customWidth="1"/>
    <col min="5" max="5" width="21.00390625" style="0" customWidth="1"/>
    <col min="6" max="6" width="21.140625" style="0" customWidth="1"/>
    <col min="7" max="7" width="20.7109375" style="0" customWidth="1"/>
    <col min="8" max="8" width="23.57421875" style="0" customWidth="1"/>
    <col min="9" max="9" width="22.7109375" style="0" customWidth="1"/>
    <col min="10" max="10" width="9.8515625" style="0" customWidth="1"/>
    <col min="12" max="12" width="17.421875" style="0" customWidth="1"/>
  </cols>
  <sheetData>
    <row r="1" spans="2:9" ht="18">
      <c r="B1" s="958" t="s">
        <v>0</v>
      </c>
      <c r="C1" s="958"/>
      <c r="D1" s="958"/>
      <c r="E1" s="958"/>
      <c r="F1" s="958"/>
      <c r="G1" s="958"/>
      <c r="H1" s="958"/>
      <c r="I1" s="190" t="s">
        <v>277</v>
      </c>
    </row>
    <row r="2" spans="2:9" ht="21">
      <c r="B2" s="959" t="s">
        <v>859</v>
      </c>
      <c r="C2" s="959"/>
      <c r="D2" s="959"/>
      <c r="E2" s="959"/>
      <c r="F2" s="959"/>
      <c r="G2" s="959"/>
      <c r="H2" s="959"/>
      <c r="I2" s="959"/>
    </row>
    <row r="3" spans="2:3" ht="15">
      <c r="B3" s="578"/>
      <c r="C3" s="191"/>
    </row>
    <row r="4" spans="2:9" ht="18" customHeight="1">
      <c r="B4" s="960" t="s">
        <v>1037</v>
      </c>
      <c r="C4" s="960"/>
      <c r="D4" s="960"/>
      <c r="E4" s="960"/>
      <c r="F4" s="960"/>
      <c r="G4" s="960"/>
      <c r="H4" s="960"/>
      <c r="I4" s="960"/>
    </row>
    <row r="5" spans="2:4" ht="15">
      <c r="B5"/>
      <c r="C5" s="579" t="s">
        <v>634</v>
      </c>
      <c r="D5" s="192"/>
    </row>
    <row r="6" spans="2:10" ht="15">
      <c r="B6" s="580"/>
      <c r="C6" s="192"/>
      <c r="H6" s="961" t="s">
        <v>906</v>
      </c>
      <c r="I6" s="961"/>
      <c r="J6" s="110"/>
    </row>
    <row r="7" spans="2:9" ht="59.25" customHeight="1">
      <c r="B7" s="193" t="s">
        <v>2</v>
      </c>
      <c r="C7" s="193" t="s">
        <v>3</v>
      </c>
      <c r="D7" s="585" t="s">
        <v>902</v>
      </c>
      <c r="E7" s="585" t="s">
        <v>901</v>
      </c>
      <c r="F7" s="585" t="s">
        <v>278</v>
      </c>
      <c r="G7" s="585" t="s">
        <v>279</v>
      </c>
      <c r="H7" s="585" t="s">
        <v>280</v>
      </c>
      <c r="I7" s="585" t="s">
        <v>281</v>
      </c>
    </row>
    <row r="8" spans="2:9" s="190" customFormat="1" ht="15">
      <c r="B8" s="577" t="s">
        <v>282</v>
      </c>
      <c r="C8" s="194" t="s">
        <v>283</v>
      </c>
      <c r="D8" s="194" t="s">
        <v>284</v>
      </c>
      <c r="E8" s="194" t="s">
        <v>285</v>
      </c>
      <c r="F8" s="194" t="s">
        <v>286</v>
      </c>
      <c r="G8" s="194" t="s">
        <v>287</v>
      </c>
      <c r="H8" s="194" t="s">
        <v>288</v>
      </c>
      <c r="I8" s="194" t="s">
        <v>289</v>
      </c>
    </row>
    <row r="9" spans="2:12" s="190" customFormat="1" ht="15">
      <c r="B9" s="581">
        <v>1</v>
      </c>
      <c r="C9" s="9" t="s">
        <v>898</v>
      </c>
      <c r="D9" s="576">
        <v>1412</v>
      </c>
      <c r="E9" s="575">
        <v>564</v>
      </c>
      <c r="F9" s="194"/>
      <c r="G9" s="286">
        <f aca="true" t="shared" si="0" ref="G9:G35">D9+E9+F9</f>
        <v>1976</v>
      </c>
      <c r="H9" s="287">
        <f>G9</f>
        <v>1976</v>
      </c>
      <c r="I9" s="286"/>
      <c r="L9" s="494"/>
    </row>
    <row r="10" spans="2:12" s="190" customFormat="1" ht="16.5" customHeight="1">
      <c r="B10" s="581">
        <v>2</v>
      </c>
      <c r="C10" s="9" t="s">
        <v>899</v>
      </c>
      <c r="D10" s="576">
        <v>1395</v>
      </c>
      <c r="E10" s="575">
        <v>570</v>
      </c>
      <c r="F10" s="194"/>
      <c r="G10" s="286">
        <f t="shared" si="0"/>
        <v>1965</v>
      </c>
      <c r="H10" s="287">
        <f aca="true" t="shared" si="1" ref="H10:H35">G10</f>
        <v>1965</v>
      </c>
      <c r="I10" s="286"/>
      <c r="L10" s="494"/>
    </row>
    <row r="11" spans="2:30" s="190" customFormat="1" ht="16.5" customHeight="1">
      <c r="B11" s="581">
        <v>3</v>
      </c>
      <c r="C11" s="9" t="s">
        <v>839</v>
      </c>
      <c r="D11" s="576">
        <v>1360</v>
      </c>
      <c r="E11" s="575">
        <v>575</v>
      </c>
      <c r="F11" s="194"/>
      <c r="G11" s="286">
        <f t="shared" si="0"/>
        <v>1935</v>
      </c>
      <c r="H11" s="287">
        <f t="shared" si="1"/>
        <v>1935</v>
      </c>
      <c r="I11" s="286"/>
      <c r="L11" s="494"/>
      <c r="AD11" s="190">
        <f>ROUND(L11/G11*100,2)</f>
        <v>0</v>
      </c>
    </row>
    <row r="12" spans="2:30" s="190" customFormat="1" ht="16.5" customHeight="1">
      <c r="B12" s="581">
        <v>4</v>
      </c>
      <c r="C12" s="9" t="s">
        <v>743</v>
      </c>
      <c r="D12" s="576">
        <v>1718</v>
      </c>
      <c r="E12" s="575">
        <v>785</v>
      </c>
      <c r="F12" s="194"/>
      <c r="G12" s="286">
        <f t="shared" si="0"/>
        <v>2503</v>
      </c>
      <c r="H12" s="287">
        <f t="shared" si="1"/>
        <v>2503</v>
      </c>
      <c r="I12" s="286"/>
      <c r="L12" s="494"/>
      <c r="AD12" s="190">
        <f aca="true" t="shared" si="2" ref="AD12:AD38">ROUND(L12/G12*100,2)</f>
        <v>0</v>
      </c>
    </row>
    <row r="13" spans="2:30" s="190" customFormat="1" ht="16.5" customHeight="1">
      <c r="B13" s="581">
        <v>5</v>
      </c>
      <c r="C13" s="9" t="s">
        <v>748</v>
      </c>
      <c r="D13" s="576">
        <v>1985</v>
      </c>
      <c r="E13" s="575">
        <v>919</v>
      </c>
      <c r="F13" s="194"/>
      <c r="G13" s="286">
        <f t="shared" si="0"/>
        <v>2904</v>
      </c>
      <c r="H13" s="287">
        <f t="shared" si="1"/>
        <v>2904</v>
      </c>
      <c r="I13" s="286"/>
      <c r="L13" s="494"/>
      <c r="AD13" s="190">
        <f t="shared" si="2"/>
        <v>0</v>
      </c>
    </row>
    <row r="14" spans="2:30" s="190" customFormat="1" ht="16.5" customHeight="1">
      <c r="B14" s="581">
        <v>6</v>
      </c>
      <c r="C14" s="9" t="s">
        <v>747</v>
      </c>
      <c r="D14" s="576">
        <v>1862</v>
      </c>
      <c r="E14" s="575">
        <v>795</v>
      </c>
      <c r="F14" s="195"/>
      <c r="G14" s="286">
        <f t="shared" si="0"/>
        <v>2657</v>
      </c>
      <c r="H14" s="287">
        <f t="shared" si="1"/>
        <v>2657</v>
      </c>
      <c r="I14" s="274"/>
      <c r="L14" s="494"/>
      <c r="AD14" s="190">
        <f t="shared" si="2"/>
        <v>0</v>
      </c>
    </row>
    <row r="15" spans="2:30" s="190" customFormat="1" ht="16.5" customHeight="1">
      <c r="B15" s="581">
        <v>7</v>
      </c>
      <c r="C15" s="9" t="s">
        <v>737</v>
      </c>
      <c r="D15" s="576">
        <v>609</v>
      </c>
      <c r="E15" s="575">
        <v>360</v>
      </c>
      <c r="F15" s="194"/>
      <c r="G15" s="286">
        <f t="shared" si="0"/>
        <v>969</v>
      </c>
      <c r="H15" s="287">
        <f t="shared" si="1"/>
        <v>969</v>
      </c>
      <c r="I15" s="286"/>
      <c r="L15" s="494"/>
      <c r="AD15" s="190">
        <f t="shared" si="2"/>
        <v>0</v>
      </c>
    </row>
    <row r="16" spans="2:30" s="190" customFormat="1" ht="16.5" customHeight="1">
      <c r="B16" s="581">
        <v>8</v>
      </c>
      <c r="C16" s="9" t="s">
        <v>749</v>
      </c>
      <c r="D16" s="576">
        <v>799</v>
      </c>
      <c r="E16" s="575">
        <v>481</v>
      </c>
      <c r="F16" s="195"/>
      <c r="G16" s="286">
        <f t="shared" si="0"/>
        <v>1280</v>
      </c>
      <c r="H16" s="287">
        <f t="shared" si="1"/>
        <v>1280</v>
      </c>
      <c r="I16" s="274"/>
      <c r="L16" s="494"/>
      <c r="AD16" s="190">
        <f t="shared" si="2"/>
        <v>0</v>
      </c>
    </row>
    <row r="17" spans="2:30" s="190" customFormat="1" ht="16.5" customHeight="1">
      <c r="B17" s="581">
        <v>9</v>
      </c>
      <c r="C17" s="9" t="s">
        <v>834</v>
      </c>
      <c r="D17" s="576">
        <v>1545</v>
      </c>
      <c r="E17" s="575">
        <v>647</v>
      </c>
      <c r="F17" s="195"/>
      <c r="G17" s="286">
        <f t="shared" si="0"/>
        <v>2192</v>
      </c>
      <c r="H17" s="287">
        <f t="shared" si="1"/>
        <v>2192</v>
      </c>
      <c r="I17" s="274"/>
      <c r="L17" s="494"/>
      <c r="AD17" s="190">
        <f t="shared" si="2"/>
        <v>0</v>
      </c>
    </row>
    <row r="18" spans="2:30" s="190" customFormat="1" ht="16.5" customHeight="1">
      <c r="B18" s="581">
        <v>10</v>
      </c>
      <c r="C18" s="9" t="s">
        <v>739</v>
      </c>
      <c r="D18" s="576">
        <v>424</v>
      </c>
      <c r="E18" s="575">
        <v>143</v>
      </c>
      <c r="F18" s="194"/>
      <c r="G18" s="286">
        <f t="shared" si="0"/>
        <v>567</v>
      </c>
      <c r="H18" s="287">
        <f t="shared" si="1"/>
        <v>567</v>
      </c>
      <c r="I18" s="286"/>
      <c r="L18" s="494"/>
      <c r="AD18" s="190">
        <f t="shared" si="2"/>
        <v>0</v>
      </c>
    </row>
    <row r="19" spans="2:30" s="190" customFormat="1" ht="16.5" customHeight="1">
      <c r="B19" s="581">
        <v>11</v>
      </c>
      <c r="C19" s="9" t="s">
        <v>900</v>
      </c>
      <c r="D19" s="576">
        <v>766</v>
      </c>
      <c r="E19" s="575">
        <v>217</v>
      </c>
      <c r="F19" s="194"/>
      <c r="G19" s="286">
        <f t="shared" si="0"/>
        <v>983</v>
      </c>
      <c r="H19" s="287">
        <f t="shared" si="1"/>
        <v>983</v>
      </c>
      <c r="I19" s="286"/>
      <c r="L19" s="494"/>
      <c r="AD19" s="190">
        <f t="shared" si="2"/>
        <v>0</v>
      </c>
    </row>
    <row r="20" spans="2:30" s="190" customFormat="1" ht="16.5" customHeight="1">
      <c r="B20" s="581">
        <v>12</v>
      </c>
      <c r="C20" s="9" t="s">
        <v>731</v>
      </c>
      <c r="D20" s="576">
        <v>1229</v>
      </c>
      <c r="E20" s="575">
        <v>606</v>
      </c>
      <c r="F20" s="195"/>
      <c r="G20" s="286">
        <f t="shared" si="0"/>
        <v>1835</v>
      </c>
      <c r="H20" s="287">
        <f t="shared" si="1"/>
        <v>1835</v>
      </c>
      <c r="I20" s="274"/>
      <c r="L20" s="494"/>
      <c r="AD20" s="190">
        <f t="shared" si="2"/>
        <v>0</v>
      </c>
    </row>
    <row r="21" spans="2:30" s="190" customFormat="1" ht="16.5" customHeight="1">
      <c r="B21" s="581">
        <v>13</v>
      </c>
      <c r="C21" s="9" t="s">
        <v>742</v>
      </c>
      <c r="D21" s="576">
        <v>826</v>
      </c>
      <c r="E21" s="575">
        <v>413</v>
      </c>
      <c r="F21" s="195"/>
      <c r="G21" s="286">
        <f t="shared" si="0"/>
        <v>1239</v>
      </c>
      <c r="H21" s="287">
        <f t="shared" si="1"/>
        <v>1239</v>
      </c>
      <c r="I21" s="274"/>
      <c r="L21" s="494"/>
      <c r="AD21" s="190">
        <f t="shared" si="2"/>
        <v>0</v>
      </c>
    </row>
    <row r="22" spans="2:30" s="190" customFormat="1" ht="16.5" customHeight="1">
      <c r="B22" s="581">
        <v>14</v>
      </c>
      <c r="C22" s="9" t="s">
        <v>740</v>
      </c>
      <c r="D22" s="576">
        <v>745</v>
      </c>
      <c r="E22" s="575">
        <v>388</v>
      </c>
      <c r="F22" s="195"/>
      <c r="G22" s="286">
        <f t="shared" si="0"/>
        <v>1133</v>
      </c>
      <c r="H22" s="287">
        <f t="shared" si="1"/>
        <v>1133</v>
      </c>
      <c r="I22" s="274"/>
      <c r="L22" s="494"/>
      <c r="AD22" s="190">
        <f t="shared" si="2"/>
        <v>0</v>
      </c>
    </row>
    <row r="23" spans="2:30" s="190" customFormat="1" ht="16.5" customHeight="1">
      <c r="B23" s="581">
        <v>15</v>
      </c>
      <c r="C23" s="9" t="s">
        <v>734</v>
      </c>
      <c r="D23" s="576">
        <v>982</v>
      </c>
      <c r="E23" s="575">
        <v>450</v>
      </c>
      <c r="F23" s="195"/>
      <c r="G23" s="286">
        <f t="shared" si="0"/>
        <v>1432</v>
      </c>
      <c r="H23" s="287">
        <f t="shared" si="1"/>
        <v>1432</v>
      </c>
      <c r="I23" s="274"/>
      <c r="L23" s="494"/>
      <c r="AD23" s="190">
        <f t="shared" si="2"/>
        <v>0</v>
      </c>
    </row>
    <row r="24" spans="2:30" s="190" customFormat="1" ht="16.5" customHeight="1">
      <c r="B24" s="581">
        <v>16</v>
      </c>
      <c r="C24" s="9" t="s">
        <v>741</v>
      </c>
      <c r="D24" s="576">
        <v>1192</v>
      </c>
      <c r="E24" s="575">
        <v>638</v>
      </c>
      <c r="F24" s="194"/>
      <c r="G24" s="286">
        <f t="shared" si="0"/>
        <v>1830</v>
      </c>
      <c r="H24" s="287">
        <f t="shared" si="1"/>
        <v>1830</v>
      </c>
      <c r="I24" s="286"/>
      <c r="L24" s="494"/>
      <c r="AD24" s="190">
        <f t="shared" si="2"/>
        <v>0</v>
      </c>
    </row>
    <row r="25" spans="2:30" ht="16.5" customHeight="1">
      <c r="B25" s="581">
        <v>17</v>
      </c>
      <c r="C25" s="9" t="s">
        <v>733</v>
      </c>
      <c r="D25" s="576">
        <v>966</v>
      </c>
      <c r="E25" s="575">
        <v>417</v>
      </c>
      <c r="F25" s="195"/>
      <c r="G25" s="286">
        <f t="shared" si="0"/>
        <v>1383</v>
      </c>
      <c r="H25" s="287">
        <f t="shared" si="1"/>
        <v>1383</v>
      </c>
      <c r="I25" s="274"/>
      <c r="L25" s="494"/>
      <c r="AD25" s="190">
        <f t="shared" si="2"/>
        <v>0</v>
      </c>
    </row>
    <row r="26" spans="2:30" ht="16.5" customHeight="1">
      <c r="B26" s="581">
        <v>18</v>
      </c>
      <c r="C26" s="9" t="s">
        <v>735</v>
      </c>
      <c r="D26" s="576">
        <v>1552</v>
      </c>
      <c r="E26" s="575">
        <v>790</v>
      </c>
      <c r="F26" s="195"/>
      <c r="G26" s="286">
        <f t="shared" si="0"/>
        <v>2342</v>
      </c>
      <c r="H26" s="287">
        <f t="shared" si="1"/>
        <v>2342</v>
      </c>
      <c r="I26" s="274"/>
      <c r="L26" s="494"/>
      <c r="AD26" s="190">
        <f t="shared" si="2"/>
        <v>0</v>
      </c>
    </row>
    <row r="27" spans="2:30" ht="16.5" customHeight="1">
      <c r="B27" s="581">
        <v>19</v>
      </c>
      <c r="C27" s="9" t="s">
        <v>732</v>
      </c>
      <c r="D27" s="576">
        <v>1495</v>
      </c>
      <c r="E27" s="575">
        <v>525</v>
      </c>
      <c r="F27" s="195"/>
      <c r="G27" s="286">
        <f t="shared" si="0"/>
        <v>2020</v>
      </c>
      <c r="H27" s="287">
        <f t="shared" si="1"/>
        <v>2020</v>
      </c>
      <c r="I27" s="274"/>
      <c r="L27" s="494"/>
      <c r="AD27" s="190">
        <f t="shared" si="2"/>
        <v>0</v>
      </c>
    </row>
    <row r="28" spans="2:30" ht="16.5" customHeight="1">
      <c r="B28" s="581">
        <v>20</v>
      </c>
      <c r="C28" s="9" t="s">
        <v>836</v>
      </c>
      <c r="D28" s="576">
        <v>1746</v>
      </c>
      <c r="E28" s="575">
        <v>520</v>
      </c>
      <c r="F28" s="195"/>
      <c r="G28" s="286">
        <f t="shared" si="0"/>
        <v>2266</v>
      </c>
      <c r="H28" s="287">
        <f t="shared" si="1"/>
        <v>2266</v>
      </c>
      <c r="I28" s="274"/>
      <c r="L28" s="494"/>
      <c r="AD28" s="190">
        <f t="shared" si="2"/>
        <v>0</v>
      </c>
    </row>
    <row r="29" spans="2:30" ht="16.5" customHeight="1">
      <c r="B29" s="581">
        <v>21</v>
      </c>
      <c r="C29" s="9" t="s">
        <v>729</v>
      </c>
      <c r="D29" s="576">
        <v>985</v>
      </c>
      <c r="E29" s="575">
        <v>495</v>
      </c>
      <c r="F29" s="194"/>
      <c r="G29" s="286">
        <f t="shared" si="0"/>
        <v>1480</v>
      </c>
      <c r="H29" s="287">
        <f t="shared" si="1"/>
        <v>1480</v>
      </c>
      <c r="I29" s="286"/>
      <c r="L29" s="494"/>
      <c r="AD29" s="190">
        <f t="shared" si="2"/>
        <v>0</v>
      </c>
    </row>
    <row r="30" spans="2:30" ht="16.5" customHeight="1">
      <c r="B30" s="581">
        <v>22</v>
      </c>
      <c r="C30" s="9" t="s">
        <v>746</v>
      </c>
      <c r="D30" s="576">
        <v>1307</v>
      </c>
      <c r="E30" s="575">
        <v>501</v>
      </c>
      <c r="F30" s="194"/>
      <c r="G30" s="286">
        <f t="shared" si="0"/>
        <v>1808</v>
      </c>
      <c r="H30" s="287">
        <f t="shared" si="1"/>
        <v>1808</v>
      </c>
      <c r="I30" s="286"/>
      <c r="L30" s="494"/>
      <c r="AD30" s="190">
        <f t="shared" si="2"/>
        <v>0</v>
      </c>
    </row>
    <row r="31" spans="2:30" ht="16.5" customHeight="1">
      <c r="B31" s="581">
        <v>23</v>
      </c>
      <c r="C31" s="9" t="s">
        <v>738</v>
      </c>
      <c r="D31" s="576">
        <v>884</v>
      </c>
      <c r="E31" s="575">
        <v>452</v>
      </c>
      <c r="F31" s="194"/>
      <c r="G31" s="286">
        <f t="shared" si="0"/>
        <v>1336</v>
      </c>
      <c r="H31" s="287">
        <f t="shared" si="1"/>
        <v>1336</v>
      </c>
      <c r="I31" s="286"/>
      <c r="L31" s="494"/>
      <c r="AD31" s="190">
        <f t="shared" si="2"/>
        <v>0</v>
      </c>
    </row>
    <row r="32" spans="2:30" ht="16.5" customHeight="1">
      <c r="B32" s="581">
        <v>24</v>
      </c>
      <c r="C32" s="9" t="s">
        <v>730</v>
      </c>
      <c r="D32" s="576">
        <v>1592</v>
      </c>
      <c r="E32" s="575">
        <v>615</v>
      </c>
      <c r="F32" s="194"/>
      <c r="G32" s="286">
        <f t="shared" si="0"/>
        <v>2207</v>
      </c>
      <c r="H32" s="287">
        <f t="shared" si="1"/>
        <v>2207</v>
      </c>
      <c r="I32" s="286"/>
      <c r="L32" s="494"/>
      <c r="AD32" s="190">
        <f t="shared" si="2"/>
        <v>0</v>
      </c>
    </row>
    <row r="33" spans="2:30" ht="16.5" customHeight="1">
      <c r="B33" s="581">
        <v>25</v>
      </c>
      <c r="C33" s="9" t="s">
        <v>736</v>
      </c>
      <c r="D33" s="576">
        <v>647</v>
      </c>
      <c r="E33" s="575">
        <v>237</v>
      </c>
      <c r="F33" s="194"/>
      <c r="G33" s="286">
        <f t="shared" si="0"/>
        <v>884</v>
      </c>
      <c r="H33" s="287">
        <f t="shared" si="1"/>
        <v>884</v>
      </c>
      <c r="I33" s="286"/>
      <c r="L33" s="494"/>
      <c r="AD33" s="190">
        <f t="shared" si="2"/>
        <v>0</v>
      </c>
    </row>
    <row r="34" spans="2:30" ht="16.5" customHeight="1">
      <c r="B34" s="581">
        <v>26</v>
      </c>
      <c r="C34" s="9" t="s">
        <v>744</v>
      </c>
      <c r="D34" s="576">
        <v>680</v>
      </c>
      <c r="E34" s="575">
        <v>207</v>
      </c>
      <c r="F34" s="194"/>
      <c r="G34" s="286">
        <f t="shared" si="0"/>
        <v>887</v>
      </c>
      <c r="H34" s="287">
        <f t="shared" si="1"/>
        <v>887</v>
      </c>
      <c r="I34" s="286"/>
      <c r="L34" s="494"/>
      <c r="AD34" s="190">
        <f t="shared" si="2"/>
        <v>0</v>
      </c>
    </row>
    <row r="35" spans="2:30" ht="16.5" customHeight="1">
      <c r="B35" s="581">
        <v>27</v>
      </c>
      <c r="C35" s="9" t="s">
        <v>745</v>
      </c>
      <c r="D35" s="576">
        <v>666</v>
      </c>
      <c r="E35" s="575">
        <v>275</v>
      </c>
      <c r="F35" s="194"/>
      <c r="G35" s="286">
        <f t="shared" si="0"/>
        <v>941</v>
      </c>
      <c r="H35" s="287">
        <f t="shared" si="1"/>
        <v>941</v>
      </c>
      <c r="I35" s="286"/>
      <c r="L35" s="494"/>
      <c r="AD35" s="190">
        <f t="shared" si="2"/>
        <v>0</v>
      </c>
    </row>
    <row r="36" spans="2:30" ht="16.5" customHeight="1">
      <c r="B36" s="582"/>
      <c r="C36" s="284" t="s">
        <v>19</v>
      </c>
      <c r="D36" s="285">
        <f>SUM(D9:D35)</f>
        <v>31369</v>
      </c>
      <c r="E36" s="289">
        <f>SUM(E9:E35)</f>
        <v>13585</v>
      </c>
      <c r="F36" s="9"/>
      <c r="G36" s="289">
        <f>SUM(G9:G35)</f>
        <v>44954</v>
      </c>
      <c r="H36" s="289">
        <f>SUM(H9:H35)</f>
        <v>44954</v>
      </c>
      <c r="I36" s="274"/>
      <c r="L36" s="494"/>
      <c r="AD36" s="190">
        <f t="shared" si="2"/>
        <v>0</v>
      </c>
    </row>
    <row r="37" spans="12:30" ht="15">
      <c r="L37" s="494"/>
      <c r="AD37" s="190" t="e">
        <f t="shared" si="2"/>
        <v>#DIV/0!</v>
      </c>
    </row>
    <row r="38" spans="2:30" ht="15">
      <c r="B38" s="962" t="s">
        <v>290</v>
      </c>
      <c r="C38" s="962"/>
      <c r="D38" s="962"/>
      <c r="E38" s="962"/>
      <c r="F38" s="962"/>
      <c r="G38" s="962"/>
      <c r="H38" s="962"/>
      <c r="I38" s="962"/>
      <c r="AD38" s="190" t="e">
        <f t="shared" si="2"/>
        <v>#DIV/0!</v>
      </c>
    </row>
    <row r="40" ht="27" customHeight="1"/>
    <row r="41" spans="2:12" ht="13.5" customHeight="1">
      <c r="B41" s="584"/>
      <c r="C41" s="584" t="s">
        <v>12</v>
      </c>
      <c r="D41" s="196"/>
      <c r="E41" s="14"/>
      <c r="F41" s="14"/>
      <c r="G41" s="881" t="s">
        <v>13</v>
      </c>
      <c r="H41" s="881"/>
      <c r="I41" s="83"/>
      <c r="J41" s="14"/>
      <c r="K41" s="361"/>
      <c r="L41" s="361"/>
    </row>
    <row r="42" spans="2:12" ht="15" customHeight="1">
      <c r="B42" s="584"/>
      <c r="C42" s="196"/>
      <c r="D42" s="196"/>
      <c r="E42" s="83"/>
      <c r="F42" s="881" t="s">
        <v>14</v>
      </c>
      <c r="G42" s="881"/>
      <c r="H42" s="881"/>
      <c r="I42" s="881"/>
      <c r="J42" s="83"/>
      <c r="K42" s="361"/>
      <c r="L42" s="361"/>
    </row>
    <row r="43" spans="2:12" ht="15" customHeight="1">
      <c r="B43" s="584"/>
      <c r="C43" s="196"/>
      <c r="D43" s="196"/>
      <c r="E43" s="881" t="s">
        <v>637</v>
      </c>
      <c r="F43" s="881"/>
      <c r="G43" s="881"/>
      <c r="H43" s="881"/>
      <c r="I43" s="881"/>
      <c r="J43" s="881"/>
      <c r="K43" s="361"/>
      <c r="L43" s="361"/>
    </row>
    <row r="44" spans="4:12" ht="12.75">
      <c r="D44" s="196"/>
      <c r="E44" s="14"/>
      <c r="F44" s="14"/>
      <c r="G44" s="1" t="s">
        <v>84</v>
      </c>
      <c r="H44" s="1"/>
      <c r="I44" s="1"/>
      <c r="J44" s="1"/>
      <c r="K44" s="196"/>
      <c r="L44" s="196"/>
    </row>
    <row r="45" spans="2:16" ht="12.75">
      <c r="B45" s="584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</row>
    <row r="59" spans="16:18" ht="12.75">
      <c r="P59" s="152"/>
      <c r="Q59" s="152"/>
      <c r="R59" s="152"/>
    </row>
    <row r="61" spans="14:20" ht="21" customHeight="1">
      <c r="N61" s="853"/>
      <c r="O61" s="853"/>
      <c r="P61" s="853"/>
      <c r="Q61" s="853"/>
      <c r="R61" s="853"/>
      <c r="S61" s="853"/>
      <c r="T61" s="853"/>
    </row>
  </sheetData>
  <sheetProtection/>
  <mergeCells count="9">
    <mergeCell ref="F42:I42"/>
    <mergeCell ref="E43:J43"/>
    <mergeCell ref="N61:T61"/>
    <mergeCell ref="B1:H1"/>
    <mergeCell ref="B2:I2"/>
    <mergeCell ref="B4:I4"/>
    <mergeCell ref="H6:I6"/>
    <mergeCell ref="G41:H41"/>
    <mergeCell ref="B38:I38"/>
  </mergeCells>
  <printOptions horizontalCentered="1"/>
  <pageMargins left="0.7086614173228347" right="0.7086614173228347" top="0.54" bottom="0" header="0.73" footer="0.31496062992125984"/>
  <pageSetup fitToHeight="1" fitToWidth="1" horizontalDpi="600" verticalDpi="600" orientation="landscape" paperSize="9" scale="6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O52"/>
  <sheetViews>
    <sheetView view="pageBreakPreview" zoomScale="78" zoomScaleSheetLayoutView="78" zoomScalePageLayoutView="0" workbookViewId="0" topLeftCell="A3">
      <selection activeCell="S10" sqref="S10"/>
    </sheetView>
  </sheetViews>
  <sheetFormatPr defaultColWidth="9.140625" defaultRowHeight="12.75"/>
  <cols>
    <col min="1" max="1" width="7.421875" style="158" customWidth="1"/>
    <col min="2" max="2" width="17.140625" style="158" customWidth="1"/>
    <col min="3" max="3" width="11.00390625" style="158" customWidth="1"/>
    <col min="4" max="4" width="10.00390625" style="158" customWidth="1"/>
    <col min="5" max="5" width="11.8515625" style="158" customWidth="1"/>
    <col min="6" max="6" width="12.140625" style="158" customWidth="1"/>
    <col min="7" max="7" width="13.28125" style="158" customWidth="1"/>
    <col min="8" max="8" width="14.57421875" style="158" customWidth="1"/>
    <col min="9" max="9" width="12.00390625" style="158" customWidth="1"/>
    <col min="10" max="10" width="13.140625" style="158" customWidth="1"/>
    <col min="11" max="11" width="10.8515625" style="158" customWidth="1"/>
    <col min="12" max="12" width="10.7109375" style="158" customWidth="1"/>
    <col min="13" max="14" width="9.140625" style="158" customWidth="1"/>
    <col min="15" max="15" width="9.57421875" style="158" bestFit="1" customWidth="1"/>
    <col min="16" max="16384" width="9.140625" style="158" customWidth="1"/>
  </cols>
  <sheetData>
    <row r="1" spans="5:10" s="86" customFormat="1" ht="12.75">
      <c r="E1" s="1263"/>
      <c r="F1" s="1263"/>
      <c r="G1" s="1263"/>
      <c r="H1" s="1263"/>
      <c r="I1" s="1263"/>
      <c r="J1" s="533" t="s">
        <v>802</v>
      </c>
    </row>
    <row r="2" spans="1:10" s="86" customFormat="1" ht="15">
      <c r="A2" s="1264" t="s">
        <v>0</v>
      </c>
      <c r="B2" s="1264"/>
      <c r="C2" s="1264"/>
      <c r="D2" s="1264"/>
      <c r="E2" s="1264"/>
      <c r="F2" s="1264"/>
      <c r="G2" s="1264"/>
      <c r="H2" s="1264"/>
      <c r="I2" s="1264"/>
      <c r="J2" s="1264"/>
    </row>
    <row r="3" spans="1:10" s="86" customFormat="1" ht="20.25">
      <c r="A3" s="952" t="s">
        <v>859</v>
      </c>
      <c r="B3" s="952"/>
      <c r="C3" s="952"/>
      <c r="D3" s="952"/>
      <c r="E3" s="952"/>
      <c r="F3" s="952"/>
      <c r="G3" s="952"/>
      <c r="H3" s="952"/>
      <c r="I3" s="952"/>
      <c r="J3" s="952"/>
    </row>
    <row r="4" s="86" customFormat="1" ht="14.25" customHeight="1"/>
    <row r="5" spans="1:12" ht="16.5" customHeight="1">
      <c r="A5" s="1265" t="s">
        <v>803</v>
      </c>
      <c r="B5" s="1265"/>
      <c r="C5" s="1265"/>
      <c r="D5" s="1265"/>
      <c r="E5" s="1265"/>
      <c r="F5" s="1265"/>
      <c r="G5" s="1265"/>
      <c r="H5" s="1265"/>
      <c r="I5" s="1265"/>
      <c r="J5" s="1265"/>
      <c r="K5" s="1265"/>
      <c r="L5" s="1265"/>
    </row>
    <row r="6" spans="1:10" ht="13.5" customHeight="1">
      <c r="A6" s="534"/>
      <c r="B6" s="534"/>
      <c r="C6" s="534"/>
      <c r="D6" s="534"/>
      <c r="E6" s="534"/>
      <c r="F6" s="534"/>
      <c r="G6" s="534"/>
      <c r="H6" s="534"/>
      <c r="I6" s="534"/>
      <c r="J6" s="534"/>
    </row>
    <row r="7" ht="0.75" customHeight="1"/>
    <row r="8" spans="1:12" ht="12.75">
      <c r="A8" s="1266" t="s">
        <v>793</v>
      </c>
      <c r="B8" s="1266"/>
      <c r="C8" s="535"/>
      <c r="H8" s="1267"/>
      <c r="I8" s="1267"/>
      <c r="J8" s="1267"/>
      <c r="K8" s="1268" t="s">
        <v>824</v>
      </c>
      <c r="L8" s="1268"/>
    </row>
    <row r="9" spans="1:14" ht="12.75">
      <c r="A9" s="1103" t="s">
        <v>2</v>
      </c>
      <c r="B9" s="1103" t="s">
        <v>37</v>
      </c>
      <c r="C9" s="1270" t="s">
        <v>794</v>
      </c>
      <c r="D9" s="1270"/>
      <c r="E9" s="1270" t="s">
        <v>133</v>
      </c>
      <c r="F9" s="1270"/>
      <c r="G9" s="1270" t="s">
        <v>795</v>
      </c>
      <c r="H9" s="1270"/>
      <c r="I9" s="1270" t="s">
        <v>134</v>
      </c>
      <c r="J9" s="1270"/>
      <c r="K9" s="1270" t="s">
        <v>135</v>
      </c>
      <c r="L9" s="1270"/>
      <c r="N9" s="536"/>
    </row>
    <row r="10" spans="1:12" ht="40.5" customHeight="1">
      <c r="A10" s="1103"/>
      <c r="B10" s="1103"/>
      <c r="C10" s="91" t="s">
        <v>796</v>
      </c>
      <c r="D10" s="91" t="s">
        <v>797</v>
      </c>
      <c r="E10" s="91" t="s">
        <v>798</v>
      </c>
      <c r="F10" s="91" t="s">
        <v>799</v>
      </c>
      <c r="G10" s="91" t="s">
        <v>798</v>
      </c>
      <c r="H10" s="91" t="s">
        <v>799</v>
      </c>
      <c r="I10" s="91" t="s">
        <v>796</v>
      </c>
      <c r="J10" s="91" t="s">
        <v>797</v>
      </c>
      <c r="K10" s="91" t="s">
        <v>796</v>
      </c>
      <c r="L10" s="91" t="s">
        <v>797</v>
      </c>
    </row>
    <row r="11" spans="1:12" ht="12.7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</row>
    <row r="12" spans="1:12" ht="12.75">
      <c r="A12" s="262">
        <v>1</v>
      </c>
      <c r="B12" s="586" t="s">
        <v>898</v>
      </c>
      <c r="C12" s="548">
        <f>'AT5D_Drought_PLAN_vs_PRFM  '!F12*150/1000000</f>
        <v>0</v>
      </c>
      <c r="D12" s="547">
        <f>'AT5D_Drought_PLAN_vs_PRFM  '!H12*150/1000000</f>
        <v>0</v>
      </c>
      <c r="E12" s="547">
        <f>'AT5D_Drought_PLAN_vs_PRFM  '!F12*6.48/100000</f>
        <v>0</v>
      </c>
      <c r="F12" s="547">
        <f>'AT5D_Drought_PLAN_vs_PRFM  '!H12*6.48/100000</f>
        <v>0</v>
      </c>
      <c r="G12" s="548">
        <v>0</v>
      </c>
      <c r="H12" s="548">
        <v>0</v>
      </c>
      <c r="I12" s="548">
        <f>C12*750/100000</f>
        <v>0</v>
      </c>
      <c r="J12" s="548">
        <f>D12*750/100000</f>
        <v>0</v>
      </c>
      <c r="K12" s="551">
        <v>0</v>
      </c>
      <c r="L12" s="548">
        <f>K12</f>
        <v>0</v>
      </c>
    </row>
    <row r="13" spans="1:12" ht="12.75">
      <c r="A13" s="260">
        <v>2</v>
      </c>
      <c r="B13" s="586" t="s">
        <v>899</v>
      </c>
      <c r="C13" s="548">
        <f>'AT5D_Drought_PLAN_vs_PRFM  '!F13*150/1000000</f>
        <v>0</v>
      </c>
      <c r="D13" s="547">
        <f>'AT5D_Drought_PLAN_vs_PRFM  '!H13*150/1000000</f>
        <v>0</v>
      </c>
      <c r="E13" s="548">
        <f>'AT5D_Drought_PLAN_vs_PRFM  '!F13*6.48/100000</f>
        <v>0</v>
      </c>
      <c r="F13" s="548">
        <f>'AT5D_Drought_PLAN_vs_PRFM  '!H13*6.48/100000</f>
        <v>0</v>
      </c>
      <c r="G13" s="548">
        <v>0</v>
      </c>
      <c r="H13" s="548">
        <v>0</v>
      </c>
      <c r="I13" s="548">
        <f>C13*750/100000</f>
        <v>0</v>
      </c>
      <c r="J13" s="548">
        <f>D13*750/100000</f>
        <v>0</v>
      </c>
      <c r="K13" s="551">
        <v>0</v>
      </c>
      <c r="L13" s="548">
        <f aca="true" t="shared" si="0" ref="L13:L38">K13</f>
        <v>0</v>
      </c>
    </row>
    <row r="14" spans="1:12" ht="12.75">
      <c r="A14" s="260">
        <v>3</v>
      </c>
      <c r="B14" s="586" t="s">
        <v>839</v>
      </c>
      <c r="C14" s="548">
        <f>'AT5D_Drought_PLAN_vs_PRFM  '!F14*150/1000000</f>
        <v>0</v>
      </c>
      <c r="D14" s="547">
        <f>'AT5D_Drought_PLAN_vs_PRFM  '!H14*150/1000000</f>
        <v>0</v>
      </c>
      <c r="E14" s="548">
        <f>'AT5D_Drought_PLAN_vs_PRFM  '!F14*6.48/100000</f>
        <v>0</v>
      </c>
      <c r="F14" s="548">
        <f>'AT5D_Drought_PLAN_vs_PRFM  '!H14*6.48/100000</f>
        <v>0</v>
      </c>
      <c r="G14" s="548">
        <v>0</v>
      </c>
      <c r="H14" s="548">
        <v>0</v>
      </c>
      <c r="I14" s="548">
        <f aca="true" t="shared" si="1" ref="I14:I38">C14*750/100000</f>
        <v>0</v>
      </c>
      <c r="J14" s="548">
        <f aca="true" t="shared" si="2" ref="J14:J38">D14*750/100000</f>
        <v>0</v>
      </c>
      <c r="K14" s="551">
        <v>0</v>
      </c>
      <c r="L14" s="548">
        <f t="shared" si="0"/>
        <v>0</v>
      </c>
    </row>
    <row r="15" spans="1:15" ht="12.75">
      <c r="A15" s="260">
        <v>4</v>
      </c>
      <c r="B15" s="586" t="s">
        <v>743</v>
      </c>
      <c r="C15" s="548">
        <f>'AT5D_Drought_PLAN_vs_PRFM  '!F15*150/1000000</f>
        <v>721.3812</v>
      </c>
      <c r="D15" s="548">
        <f>'AT5D_Drought_PLAN_vs_PRFM  '!H15*150/1000000</f>
        <v>137.94135</v>
      </c>
      <c r="E15" s="548">
        <f>'AT5D_Drought_PLAN_vs_PRFM  '!F15*6.18/100000</f>
        <v>297.20905439999996</v>
      </c>
      <c r="F15" s="548">
        <f>'AT5D_Drought_PLAN_vs_PRFM  '!H15*6.48/100000</f>
        <v>59.5906632</v>
      </c>
      <c r="G15" s="548">
        <v>53.928</v>
      </c>
      <c r="H15" s="548">
        <v>53.76</v>
      </c>
      <c r="I15" s="548">
        <f t="shared" si="1"/>
        <v>5.410359000000001</v>
      </c>
      <c r="J15" s="548">
        <f t="shared" si="2"/>
        <v>1.034560125</v>
      </c>
      <c r="K15" s="551">
        <v>4.327593675372537</v>
      </c>
      <c r="L15" s="548">
        <f t="shared" si="0"/>
        <v>4.327593675372537</v>
      </c>
      <c r="N15" s="769"/>
      <c r="O15" s="769"/>
    </row>
    <row r="16" spans="1:15" ht="12.75">
      <c r="A16" s="260">
        <v>5</v>
      </c>
      <c r="B16" s="586" t="s">
        <v>748</v>
      </c>
      <c r="C16" s="548">
        <f>'AT5D_Drought_PLAN_vs_PRFM  '!F16*150/1000000</f>
        <v>322.1334</v>
      </c>
      <c r="D16" s="548">
        <f>'AT5D_Drought_PLAN_vs_PRFM  '!H16*150/1000000</f>
        <v>54.4833</v>
      </c>
      <c r="E16" s="548">
        <f>'AT5D_Drought_PLAN_vs_PRFM  '!F16*6.18/100000</f>
        <v>132.7189608</v>
      </c>
      <c r="F16" s="548">
        <f>'AT5D_Drought_PLAN_vs_PRFM  '!H16*6.48/100000</f>
        <v>23.5367856</v>
      </c>
      <c r="G16" s="548">
        <v>48.096</v>
      </c>
      <c r="H16" s="548">
        <v>48.096</v>
      </c>
      <c r="I16" s="548">
        <f t="shared" si="1"/>
        <v>2.4160005</v>
      </c>
      <c r="J16" s="548">
        <f t="shared" si="2"/>
        <v>0.40862475</v>
      </c>
      <c r="K16" s="551">
        <v>1.9324907059766063</v>
      </c>
      <c r="L16" s="548">
        <f t="shared" si="0"/>
        <v>1.9324907059766063</v>
      </c>
      <c r="N16" s="769"/>
      <c r="O16" s="769"/>
    </row>
    <row r="17" spans="1:15" ht="12.75">
      <c r="A17" s="260">
        <v>6</v>
      </c>
      <c r="B17" s="586" t="s">
        <v>747</v>
      </c>
      <c r="C17" s="548">
        <f>'AT5D_Drought_PLAN_vs_PRFM  '!F17*150/1000000</f>
        <v>539.5386</v>
      </c>
      <c r="D17" s="548">
        <f>'AT5D_Drought_PLAN_vs_PRFM  '!H17*150/1000000</f>
        <v>135.02025</v>
      </c>
      <c r="E17" s="548">
        <f>'AT5D_Drought_PLAN_vs_PRFM  '!F17*6.18/100000</f>
        <v>222.2899032</v>
      </c>
      <c r="F17" s="548">
        <f>'AT5D_Drought_PLAN_vs_PRFM  '!H17*6.48/100000</f>
        <v>58.328748000000004</v>
      </c>
      <c r="G17" s="548">
        <v>48.12</v>
      </c>
      <c r="H17" s="548">
        <v>48.12</v>
      </c>
      <c r="I17" s="548">
        <f t="shared" si="1"/>
        <v>4.0465395</v>
      </c>
      <c r="J17" s="548">
        <f t="shared" si="2"/>
        <v>1.012651875</v>
      </c>
      <c r="K17" s="551">
        <v>3.2367128960102542</v>
      </c>
      <c r="L17" s="548">
        <f t="shared" si="0"/>
        <v>3.2367128960102542</v>
      </c>
      <c r="N17" s="769"/>
      <c r="O17" s="769"/>
    </row>
    <row r="18" spans="1:15" ht="12.75">
      <c r="A18" s="260">
        <v>7</v>
      </c>
      <c r="B18" s="586" t="s">
        <v>737</v>
      </c>
      <c r="C18" s="548">
        <f>'AT5D_Drought_PLAN_vs_PRFM  '!F18*150/1000000</f>
        <v>355.9296</v>
      </c>
      <c r="D18" s="548">
        <f>'AT5D_Drought_PLAN_vs_PRFM  '!H18*150/1000000</f>
        <v>63.01905</v>
      </c>
      <c r="E18" s="548">
        <f>'AT5D_Drought_PLAN_vs_PRFM  '!F18*6.18/100000</f>
        <v>146.6429952</v>
      </c>
      <c r="F18" s="548">
        <f>'AT5D_Drought_PLAN_vs_PRFM  '!H18*6.48/100000</f>
        <v>27.2242296</v>
      </c>
      <c r="G18" s="548">
        <v>24.264</v>
      </c>
      <c r="H18" s="548">
        <v>24.264</v>
      </c>
      <c r="I18" s="548">
        <f t="shared" si="1"/>
        <v>2.6694720000000003</v>
      </c>
      <c r="J18" s="548">
        <f t="shared" si="2"/>
        <v>0.47264287499999996</v>
      </c>
      <c r="K18" s="551">
        <v>2.135235414837366</v>
      </c>
      <c r="L18" s="548">
        <f t="shared" si="0"/>
        <v>2.135235414837366</v>
      </c>
      <c r="N18" s="769"/>
      <c r="O18" s="769"/>
    </row>
    <row r="19" spans="1:15" ht="12.75">
      <c r="A19" s="260">
        <v>8</v>
      </c>
      <c r="B19" s="586" t="s">
        <v>749</v>
      </c>
      <c r="C19" s="548">
        <f>'AT5D_Drought_PLAN_vs_PRFM  '!F19*150/1000000</f>
        <v>547.3632</v>
      </c>
      <c r="D19" s="548">
        <f>'AT5D_Drought_PLAN_vs_PRFM  '!H19*150/1000000</f>
        <v>124.2327</v>
      </c>
      <c r="E19" s="548">
        <f>'AT5D_Drought_PLAN_vs_PRFM  '!F19*6.18/100000</f>
        <v>225.5136384</v>
      </c>
      <c r="F19" s="548">
        <f>'AT5D_Drought_PLAN_vs_PRFM  '!H19*6.48/100000</f>
        <v>53.668526400000005</v>
      </c>
      <c r="G19" s="548">
        <v>35.712</v>
      </c>
      <c r="H19" s="548">
        <v>35.712</v>
      </c>
      <c r="I19" s="548">
        <f t="shared" si="1"/>
        <v>4.105224000000001</v>
      </c>
      <c r="J19" s="548">
        <f t="shared" si="2"/>
        <v>0.93174525</v>
      </c>
      <c r="K19" s="551">
        <v>3.2836529735619298</v>
      </c>
      <c r="L19" s="548">
        <f t="shared" si="0"/>
        <v>3.2836529735619298</v>
      </c>
      <c r="N19" s="769"/>
      <c r="O19" s="769"/>
    </row>
    <row r="20" spans="1:15" ht="12.75">
      <c r="A20" s="260">
        <v>9</v>
      </c>
      <c r="B20" s="586" t="s">
        <v>834</v>
      </c>
      <c r="C20" s="548">
        <f>'AT5D_Drought_PLAN_vs_PRFM  '!F20*150/1000000</f>
        <v>0</v>
      </c>
      <c r="D20" s="548">
        <f>'AT5D_Drought_PLAN_vs_PRFM  '!H20*150/1000000</f>
        <v>0</v>
      </c>
      <c r="E20" s="548">
        <f>'AT5D_Drought_PLAN_vs_PRFM  '!F20*6.18/100000</f>
        <v>0</v>
      </c>
      <c r="F20" s="548">
        <f>'AT5D_Drought_PLAN_vs_PRFM  '!H20*6.48/100000</f>
        <v>0</v>
      </c>
      <c r="G20" s="548">
        <v>0</v>
      </c>
      <c r="H20" s="548">
        <v>0</v>
      </c>
      <c r="I20" s="548">
        <f t="shared" si="1"/>
        <v>0</v>
      </c>
      <c r="J20" s="548">
        <f t="shared" si="2"/>
        <v>0</v>
      </c>
      <c r="K20" s="551">
        <v>0</v>
      </c>
      <c r="L20" s="548">
        <f t="shared" si="0"/>
        <v>0</v>
      </c>
      <c r="N20" s="769"/>
      <c r="O20" s="769"/>
    </row>
    <row r="21" spans="1:15" ht="12.75">
      <c r="A21" s="260">
        <v>10</v>
      </c>
      <c r="B21" s="586" t="s">
        <v>739</v>
      </c>
      <c r="C21" s="548">
        <f>'AT5D_Drought_PLAN_vs_PRFM  '!F21*150/1000000</f>
        <v>54.1236</v>
      </c>
      <c r="D21" s="548">
        <f>'AT5D_Drought_PLAN_vs_PRFM  '!H21*150/1000000</f>
        <v>17.946</v>
      </c>
      <c r="E21" s="548">
        <f>'AT5D_Drought_PLAN_vs_PRFM  '!F21*6.18/100000</f>
        <v>22.298923199999997</v>
      </c>
      <c r="F21" s="548">
        <f>'AT5D_Drought_PLAN_vs_PRFM  '!H21*6.48/100000</f>
        <v>7.7526720000000005</v>
      </c>
      <c r="G21" s="548">
        <v>4.92</v>
      </c>
      <c r="H21" s="548">
        <v>4.92</v>
      </c>
      <c r="I21" s="548">
        <f t="shared" si="1"/>
        <v>0.40592700000000004</v>
      </c>
      <c r="J21" s="548">
        <f t="shared" si="2"/>
        <v>0.13459500000000002</v>
      </c>
      <c r="K21" s="551">
        <v>0.3246895664156385</v>
      </c>
      <c r="L21" s="548">
        <f t="shared" si="0"/>
        <v>0.3246895664156385</v>
      </c>
      <c r="N21" s="769"/>
      <c r="O21" s="769"/>
    </row>
    <row r="22" spans="1:15" ht="12.75">
      <c r="A22" s="260">
        <v>11</v>
      </c>
      <c r="B22" s="586" t="s">
        <v>900</v>
      </c>
      <c r="C22" s="548">
        <f>'AT5D_Drought_PLAN_vs_PRFM  '!F22*150/1000000</f>
        <v>0</v>
      </c>
      <c r="D22" s="548">
        <f>'AT5D_Drought_PLAN_vs_PRFM  '!H22*150/1000000</f>
        <v>0</v>
      </c>
      <c r="E22" s="548">
        <f>'AT5D_Drought_PLAN_vs_PRFM  '!F22*6.18/100000</f>
        <v>0</v>
      </c>
      <c r="F22" s="548">
        <f>'AT5D_Drought_PLAN_vs_PRFM  '!H22*6.48/100000</f>
        <v>0</v>
      </c>
      <c r="G22" s="548">
        <v>0</v>
      </c>
      <c r="H22" s="548">
        <v>0</v>
      </c>
      <c r="I22" s="548">
        <f t="shared" si="1"/>
        <v>0</v>
      </c>
      <c r="J22" s="548">
        <f t="shared" si="2"/>
        <v>0</v>
      </c>
      <c r="K22" s="551">
        <v>0</v>
      </c>
      <c r="L22" s="548">
        <f t="shared" si="0"/>
        <v>0</v>
      </c>
      <c r="N22" s="769"/>
      <c r="O22" s="769"/>
    </row>
    <row r="23" spans="1:15" ht="12.75">
      <c r="A23" s="260">
        <v>12</v>
      </c>
      <c r="B23" s="586" t="s">
        <v>731</v>
      </c>
      <c r="C23" s="548">
        <f>'AT5D_Drought_PLAN_vs_PRFM  '!F23*150/1000000</f>
        <v>202.8393</v>
      </c>
      <c r="D23" s="548">
        <f>'AT5D_Drought_PLAN_vs_PRFM  '!H23*150/1000000</f>
        <v>52.07175</v>
      </c>
      <c r="E23" s="548">
        <f>'AT5D_Drought_PLAN_vs_PRFM  '!F23*6.18/100000</f>
        <v>83.56979159999999</v>
      </c>
      <c r="F23" s="548">
        <f>'AT5D_Drought_PLAN_vs_PRFM  '!H23*6.48/100000</f>
        <v>22.494996</v>
      </c>
      <c r="G23" s="548">
        <v>28.656</v>
      </c>
      <c r="H23" s="548">
        <v>28.656</v>
      </c>
      <c r="I23" s="548">
        <f t="shared" si="1"/>
        <v>1.52129475</v>
      </c>
      <c r="J23" s="548">
        <f t="shared" si="2"/>
        <v>0.390538125</v>
      </c>
      <c r="K23" s="551">
        <v>1.2168407934625862</v>
      </c>
      <c r="L23" s="548">
        <f t="shared" si="0"/>
        <v>1.2168407934625862</v>
      </c>
      <c r="N23" s="769"/>
      <c r="O23" s="769"/>
    </row>
    <row r="24" spans="1:15" ht="12.75">
      <c r="A24" s="260">
        <v>13</v>
      </c>
      <c r="B24" s="586" t="s">
        <v>742</v>
      </c>
      <c r="C24" s="548">
        <f>'AT5D_Drought_PLAN_vs_PRFM  '!F24*150/1000000</f>
        <v>210.8916</v>
      </c>
      <c r="D24" s="548">
        <f>'AT5D_Drought_PLAN_vs_PRFM  '!H24*150/1000000</f>
        <v>66.05475</v>
      </c>
      <c r="E24" s="548">
        <f>'AT5D_Drought_PLAN_vs_PRFM  '!F24*6.18/100000</f>
        <v>86.8873392</v>
      </c>
      <c r="F24" s="548">
        <f>'AT5D_Drought_PLAN_vs_PRFM  '!H24*6.48/100000</f>
        <v>28.535652000000002</v>
      </c>
      <c r="G24" s="548">
        <v>23.76</v>
      </c>
      <c r="H24" s="548">
        <v>23.76</v>
      </c>
      <c r="I24" s="548">
        <f t="shared" si="1"/>
        <v>1.581687</v>
      </c>
      <c r="J24" s="548">
        <f t="shared" si="2"/>
        <v>0.495410625</v>
      </c>
      <c r="K24" s="551">
        <v>1.2651468521070341</v>
      </c>
      <c r="L24" s="548">
        <f t="shared" si="0"/>
        <v>1.2651468521070341</v>
      </c>
      <c r="N24" s="769"/>
      <c r="O24" s="769"/>
    </row>
    <row r="25" spans="1:15" ht="12.75">
      <c r="A25" s="260">
        <v>14</v>
      </c>
      <c r="B25" s="586" t="s">
        <v>740</v>
      </c>
      <c r="C25" s="548">
        <f>'AT5D_Drought_PLAN_vs_PRFM  '!F25*150/1000000</f>
        <v>366.8247</v>
      </c>
      <c r="D25" s="548">
        <f>'AT5D_Drought_PLAN_vs_PRFM  '!H25*150/1000000</f>
        <v>62.37825</v>
      </c>
      <c r="E25" s="548">
        <f>'AT5D_Drought_PLAN_vs_PRFM  '!F25*6.18/100000</f>
        <v>151.13177639999998</v>
      </c>
      <c r="F25" s="548">
        <f>'AT5D_Drought_PLAN_vs_PRFM  '!H25*6.48/100000</f>
        <v>26.947404000000002</v>
      </c>
      <c r="G25" s="548">
        <v>26.112</v>
      </c>
      <c r="H25" s="548">
        <v>26.112</v>
      </c>
      <c r="I25" s="548">
        <f t="shared" si="1"/>
        <v>2.7511852500000002</v>
      </c>
      <c r="J25" s="548">
        <f t="shared" si="2"/>
        <v>0.467836875</v>
      </c>
      <c r="K25" s="551">
        <v>2.20059554045826</v>
      </c>
      <c r="L25" s="548">
        <f t="shared" si="0"/>
        <v>2.20059554045826</v>
      </c>
      <c r="N25" s="769"/>
      <c r="O25" s="769"/>
    </row>
    <row r="26" spans="1:15" ht="12.75">
      <c r="A26" s="260">
        <v>15</v>
      </c>
      <c r="B26" s="586" t="s">
        <v>734</v>
      </c>
      <c r="C26" s="548">
        <f>'AT5D_Drought_PLAN_vs_PRFM  '!F26*150/1000000</f>
        <v>129.1611</v>
      </c>
      <c r="D26" s="548">
        <f>'AT5D_Drought_PLAN_vs_PRFM  '!H26*150/1000000</f>
        <v>43.83585</v>
      </c>
      <c r="E26" s="548">
        <f>'AT5D_Drought_PLAN_vs_PRFM  '!F26*6.18/100000</f>
        <v>53.2143732</v>
      </c>
      <c r="F26" s="548">
        <f>'AT5D_Drought_PLAN_vs_PRFM  '!H26*6.48/100000</f>
        <v>18.9370872</v>
      </c>
      <c r="G26" s="548">
        <v>22.344</v>
      </c>
      <c r="H26" s="548">
        <v>22.344</v>
      </c>
      <c r="I26" s="548">
        <f t="shared" si="1"/>
        <v>0.9687082499999999</v>
      </c>
      <c r="J26" s="548">
        <f t="shared" si="2"/>
        <v>0.32876887499999996</v>
      </c>
      <c r="K26" s="551">
        <v>0.7748424265342092</v>
      </c>
      <c r="L26" s="548">
        <f t="shared" si="0"/>
        <v>0.7748424265342092</v>
      </c>
      <c r="N26" s="769"/>
      <c r="O26" s="769"/>
    </row>
    <row r="27" spans="1:15" ht="12.75">
      <c r="A27" s="260">
        <v>16</v>
      </c>
      <c r="B27" s="586" t="s">
        <v>741</v>
      </c>
      <c r="C27" s="548">
        <f>'AT5D_Drought_PLAN_vs_PRFM  '!F27*150/1000000</f>
        <v>553.4007</v>
      </c>
      <c r="D27" s="548">
        <f>'AT5D_Drought_PLAN_vs_PRFM  '!H27*150/1000000</f>
        <v>155.3973</v>
      </c>
      <c r="E27" s="548">
        <f>'AT5D_Drought_PLAN_vs_PRFM  '!F27*6.18/100000</f>
        <v>228.0010884</v>
      </c>
      <c r="F27" s="548">
        <f>'AT5D_Drought_PLAN_vs_PRFM  '!H27*6.48/100000</f>
        <v>67.1316336</v>
      </c>
      <c r="G27" s="548">
        <v>41.64</v>
      </c>
      <c r="H27" s="548">
        <v>41.64</v>
      </c>
      <c r="I27" s="548">
        <f t="shared" si="1"/>
        <v>4.15050525</v>
      </c>
      <c r="J27" s="548">
        <f t="shared" si="2"/>
        <v>1.16547975</v>
      </c>
      <c r="K27" s="551">
        <v>3.3198721692036535</v>
      </c>
      <c r="L27" s="548">
        <f t="shared" si="0"/>
        <v>3.3198721692036535</v>
      </c>
      <c r="N27" s="769"/>
      <c r="O27" s="769"/>
    </row>
    <row r="28" spans="1:15" ht="12.75">
      <c r="A28" s="260">
        <v>17</v>
      </c>
      <c r="B28" s="586" t="s">
        <v>733</v>
      </c>
      <c r="C28" s="548">
        <f>'AT5D_Drought_PLAN_vs_PRFM  '!F28*150/1000000</f>
        <v>208.0833</v>
      </c>
      <c r="D28" s="548">
        <f>'AT5D_Drought_PLAN_vs_PRFM  '!H28*150/1000000</f>
        <v>63.10995</v>
      </c>
      <c r="E28" s="548">
        <f>'AT5D_Drought_PLAN_vs_PRFM  '!F28*6.18/100000</f>
        <v>85.73031959999999</v>
      </c>
      <c r="F28" s="548">
        <f>'AT5D_Drought_PLAN_vs_PRFM  '!H28*6.48/100000</f>
        <v>27.263498400000003</v>
      </c>
      <c r="G28" s="548">
        <v>19.92</v>
      </c>
      <c r="H28" s="548">
        <v>19.92</v>
      </c>
      <c r="I28" s="548">
        <f t="shared" si="1"/>
        <v>1.5606247500000001</v>
      </c>
      <c r="J28" s="548">
        <f t="shared" si="2"/>
        <v>0.473324625</v>
      </c>
      <c r="K28" s="551">
        <v>1.2482997519628267</v>
      </c>
      <c r="L28" s="548">
        <f t="shared" si="0"/>
        <v>1.2482997519628267</v>
      </c>
      <c r="N28" s="769"/>
      <c r="O28" s="769"/>
    </row>
    <row r="29" spans="1:15" ht="12.75">
      <c r="A29" s="260">
        <v>18</v>
      </c>
      <c r="B29" s="586" t="s">
        <v>735</v>
      </c>
      <c r="C29" s="548">
        <f>'AT5D_Drought_PLAN_vs_PRFM  '!F29*150/1000000</f>
        <v>245.9505</v>
      </c>
      <c r="D29" s="548">
        <f>'AT5D_Drought_PLAN_vs_PRFM  '!H29*150/1000000</f>
        <v>58.044</v>
      </c>
      <c r="E29" s="548">
        <f>'AT5D_Drought_PLAN_vs_PRFM  '!F29*6.18/100000</f>
        <v>101.331606</v>
      </c>
      <c r="F29" s="548">
        <f>'AT5D_Drought_PLAN_vs_PRFM  '!H29*6.48/100000</f>
        <v>25.075008000000004</v>
      </c>
      <c r="G29" s="548">
        <v>45.312</v>
      </c>
      <c r="H29" s="548">
        <v>45.312</v>
      </c>
      <c r="I29" s="548">
        <f t="shared" si="1"/>
        <v>1.84462875</v>
      </c>
      <c r="J29" s="548">
        <f t="shared" si="2"/>
        <v>0.43533</v>
      </c>
      <c r="K29" s="551">
        <v>1.47546654702772</v>
      </c>
      <c r="L29" s="548">
        <f t="shared" si="0"/>
        <v>1.47546654702772</v>
      </c>
      <c r="N29" s="769"/>
      <c r="O29" s="769"/>
    </row>
    <row r="30" spans="1:15" ht="12.75">
      <c r="A30" s="260">
        <v>19</v>
      </c>
      <c r="B30" s="586" t="s">
        <v>732</v>
      </c>
      <c r="C30" s="548">
        <f>'AT5D_Drought_PLAN_vs_PRFM  '!F30*150/1000000</f>
        <v>80.4126</v>
      </c>
      <c r="D30" s="548">
        <f>'AT5D_Drought_PLAN_vs_PRFM  '!H30*150/1000000</f>
        <v>25.40685</v>
      </c>
      <c r="E30" s="548">
        <f>'AT5D_Drought_PLAN_vs_PRFM  '!F30*6.18/100000</f>
        <v>33.1299912</v>
      </c>
      <c r="F30" s="548">
        <f>'AT5D_Drought_PLAN_vs_PRFM  '!H30*6.48/100000</f>
        <v>10.975759200000002</v>
      </c>
      <c r="G30" s="548">
        <v>32.448</v>
      </c>
      <c r="H30" s="548">
        <v>32.448</v>
      </c>
      <c r="I30" s="548">
        <f t="shared" si="1"/>
        <v>0.6030945</v>
      </c>
      <c r="J30" s="548">
        <f t="shared" si="2"/>
        <v>0.190551375</v>
      </c>
      <c r="K30" s="551">
        <v>0.48239829258131706</v>
      </c>
      <c r="L30" s="548">
        <f t="shared" si="0"/>
        <v>0.48239829258131706</v>
      </c>
      <c r="N30" s="769"/>
      <c r="O30" s="769"/>
    </row>
    <row r="31" spans="1:15" ht="12.75">
      <c r="A31" s="260">
        <v>20</v>
      </c>
      <c r="B31" s="586" t="s">
        <v>836</v>
      </c>
      <c r="C31" s="548">
        <f>'AT5D_Drought_PLAN_vs_PRFM  '!F31*150/1000000</f>
        <v>0</v>
      </c>
      <c r="D31" s="548">
        <f>'AT5D_Drought_PLAN_vs_PRFM  '!H31*150/1000000</f>
        <v>0</v>
      </c>
      <c r="E31" s="548">
        <f>'AT5D_Drought_PLAN_vs_PRFM  '!F31*6.18/100000</f>
        <v>0</v>
      </c>
      <c r="F31" s="548">
        <f>'AT5D_Drought_PLAN_vs_PRFM  '!H31*6.48/100000</f>
        <v>0</v>
      </c>
      <c r="G31" s="549">
        <v>0</v>
      </c>
      <c r="H31" s="549">
        <v>0</v>
      </c>
      <c r="I31" s="548">
        <f t="shared" si="1"/>
        <v>0</v>
      </c>
      <c r="J31" s="548">
        <f t="shared" si="2"/>
        <v>0</v>
      </c>
      <c r="K31" s="551">
        <v>0</v>
      </c>
      <c r="L31" s="548">
        <f t="shared" si="0"/>
        <v>0</v>
      </c>
      <c r="N31" s="769"/>
      <c r="O31" s="769"/>
    </row>
    <row r="32" spans="1:15" ht="12.75">
      <c r="A32" s="260">
        <v>21</v>
      </c>
      <c r="B32" s="586" t="s">
        <v>729</v>
      </c>
      <c r="C32" s="548">
        <f>'AT5D_Drought_PLAN_vs_PRFM  '!F32*150/1000000</f>
        <v>364.8927</v>
      </c>
      <c r="D32" s="548">
        <f>'AT5D_Drought_PLAN_vs_PRFM  '!H32*150/1000000</f>
        <v>98.7405</v>
      </c>
      <c r="E32" s="548">
        <f>'AT5D_Drought_PLAN_vs_PRFM  '!F32*6.18/100000</f>
        <v>150.3357924</v>
      </c>
      <c r="F32" s="548">
        <f>'AT5D_Drought_PLAN_vs_PRFM  '!H32*6.48/100000</f>
        <v>42.655896000000006</v>
      </c>
      <c r="G32" s="548">
        <v>29.856</v>
      </c>
      <c r="H32" s="548">
        <v>29.856</v>
      </c>
      <c r="I32" s="548">
        <f t="shared" si="1"/>
        <v>2.7366952499999995</v>
      </c>
      <c r="J32" s="548">
        <f t="shared" si="2"/>
        <v>0.74055375</v>
      </c>
      <c r="K32" s="551">
        <v>2.189005397852908</v>
      </c>
      <c r="L32" s="548">
        <f t="shared" si="0"/>
        <v>2.189005397852908</v>
      </c>
      <c r="N32" s="769"/>
      <c r="O32" s="769"/>
    </row>
    <row r="33" spans="1:15" ht="12.75">
      <c r="A33" s="260">
        <v>22</v>
      </c>
      <c r="B33" s="586" t="s">
        <v>746</v>
      </c>
      <c r="C33" s="548">
        <f>'AT5D_Drought_PLAN_vs_PRFM  '!F33*150/1000000</f>
        <v>394.6524</v>
      </c>
      <c r="D33" s="548">
        <f>'AT5D_Drought_PLAN_vs_PRFM  '!H33*150/1000000</f>
        <v>120.51375</v>
      </c>
      <c r="E33" s="548">
        <f>'AT5D_Drought_PLAN_vs_PRFM  '!F33*6.18/100000</f>
        <v>162.59678879999998</v>
      </c>
      <c r="F33" s="548">
        <f>'AT5D_Drought_PLAN_vs_PRFM  '!H33*6.48/100000</f>
        <v>52.06194</v>
      </c>
      <c r="G33" s="548">
        <v>30.84</v>
      </c>
      <c r="H33" s="548">
        <v>30.84</v>
      </c>
      <c r="I33" s="548">
        <f t="shared" si="1"/>
        <v>2.9598929999999997</v>
      </c>
      <c r="J33" s="548">
        <f t="shared" si="2"/>
        <v>0.903853125</v>
      </c>
      <c r="K33" s="551">
        <v>2.367534987341772</v>
      </c>
      <c r="L33" s="548">
        <f t="shared" si="0"/>
        <v>2.367534987341772</v>
      </c>
      <c r="N33" s="769"/>
      <c r="O33" s="769"/>
    </row>
    <row r="34" spans="1:15" ht="12.75">
      <c r="A34" s="260">
        <v>23</v>
      </c>
      <c r="B34" s="586" t="s">
        <v>738</v>
      </c>
      <c r="C34" s="548">
        <f>'AT5D_Drought_PLAN_vs_PRFM  '!F34*150/1000000</f>
        <v>251.4429</v>
      </c>
      <c r="D34" s="548">
        <f>'AT5D_Drought_PLAN_vs_PRFM  '!H34*150/1000000</f>
        <v>74.73645</v>
      </c>
      <c r="E34" s="548">
        <f>'AT5D_Drought_PLAN_vs_PRFM  '!F34*6.18/100000</f>
        <v>103.5944748</v>
      </c>
      <c r="F34" s="548">
        <f>'AT5D_Drought_PLAN_vs_PRFM  '!H34*6.48/100000</f>
        <v>32.2861464</v>
      </c>
      <c r="G34" s="548">
        <v>25.08</v>
      </c>
      <c r="H34" s="548">
        <v>25.08</v>
      </c>
      <c r="I34" s="548">
        <f t="shared" si="1"/>
        <v>1.88582175</v>
      </c>
      <c r="J34" s="548">
        <f t="shared" si="2"/>
        <v>0.560523375</v>
      </c>
      <c r="K34" s="551">
        <v>1.508415666720077</v>
      </c>
      <c r="L34" s="548">
        <f t="shared" si="0"/>
        <v>1.508415666720077</v>
      </c>
      <c r="N34" s="769"/>
      <c r="O34" s="769"/>
    </row>
    <row r="35" spans="1:15" ht="12.75">
      <c r="A35" s="260">
        <v>24</v>
      </c>
      <c r="B35" s="586" t="s">
        <v>730</v>
      </c>
      <c r="C35" s="548">
        <f>'AT5D_Drought_PLAN_vs_PRFM  '!F35*150/1000000</f>
        <v>261.2547</v>
      </c>
      <c r="D35" s="548">
        <f>'AT5D_Drought_PLAN_vs_PRFM  '!H35*150/1000000</f>
        <v>104.68245</v>
      </c>
      <c r="E35" s="548">
        <f>'AT5D_Drought_PLAN_vs_PRFM  '!F35*6.18/100000</f>
        <v>107.63693639999998</v>
      </c>
      <c r="F35" s="548">
        <f>'AT5D_Drought_PLAN_vs_PRFM  '!H35*6.48/100000</f>
        <v>45.2228184</v>
      </c>
      <c r="G35" s="548">
        <v>29.952</v>
      </c>
      <c r="H35" s="548">
        <v>29.952</v>
      </c>
      <c r="I35" s="548">
        <f t="shared" si="1"/>
        <v>1.9594102500000001</v>
      </c>
      <c r="J35" s="548">
        <f t="shared" si="2"/>
        <v>0.785118375</v>
      </c>
      <c r="K35" s="551">
        <v>1.5672770338086845</v>
      </c>
      <c r="L35" s="548">
        <f t="shared" si="0"/>
        <v>1.5672770338086845</v>
      </c>
      <c r="N35" s="769"/>
      <c r="O35" s="769"/>
    </row>
    <row r="36" spans="1:15" ht="12.75">
      <c r="A36" s="260">
        <v>25</v>
      </c>
      <c r="B36" s="586" t="s">
        <v>736</v>
      </c>
      <c r="C36" s="548">
        <f>'AT5D_Drought_PLAN_vs_PRFM  '!F36*150/1000000</f>
        <v>74.175</v>
      </c>
      <c r="D36" s="548">
        <f>'AT5D_Drought_PLAN_vs_PRFM  '!H36*150/1000000</f>
        <v>34.3293</v>
      </c>
      <c r="E36" s="548">
        <f>'AT5D_Drought_PLAN_vs_PRFM  '!F36*6.18/100000</f>
        <v>30.5601</v>
      </c>
      <c r="F36" s="548">
        <f>'AT5D_Drought_PLAN_vs_PRFM  '!H36*6.48/100000</f>
        <v>14.8302576</v>
      </c>
      <c r="G36" s="548">
        <v>8.256</v>
      </c>
      <c r="H36" s="548">
        <v>8.256</v>
      </c>
      <c r="I36" s="548">
        <f t="shared" si="1"/>
        <v>0.5563125</v>
      </c>
      <c r="J36" s="548">
        <f t="shared" si="2"/>
        <v>0.25746975</v>
      </c>
      <c r="K36" s="551">
        <v>0.4449786893126102</v>
      </c>
      <c r="L36" s="548">
        <f t="shared" si="0"/>
        <v>0.4449786893126102</v>
      </c>
      <c r="N36" s="769"/>
      <c r="O36" s="769"/>
    </row>
    <row r="37" spans="1:15" ht="12.75">
      <c r="A37" s="260">
        <v>26</v>
      </c>
      <c r="B37" s="586" t="s">
        <v>744</v>
      </c>
      <c r="C37" s="548">
        <f>'AT5D_Drought_PLAN_vs_PRFM  '!F37*150/1000000</f>
        <v>76.0311</v>
      </c>
      <c r="D37" s="548">
        <f>'AT5D_Drought_PLAN_vs_PRFM  '!H37*150/1000000</f>
        <v>37.77525</v>
      </c>
      <c r="E37" s="548">
        <f>'AT5D_Drought_PLAN_vs_PRFM  '!F37*6.18/100000</f>
        <v>31.324813199999998</v>
      </c>
      <c r="F37" s="548">
        <f>'AT5D_Drought_PLAN_vs_PRFM  '!H37*6.48/100000</f>
        <v>16.318908</v>
      </c>
      <c r="G37" s="548">
        <v>7.728</v>
      </c>
      <c r="H37" s="548">
        <v>7.728</v>
      </c>
      <c r="I37" s="548">
        <f t="shared" si="1"/>
        <v>0.57023325</v>
      </c>
      <c r="J37" s="548">
        <f t="shared" si="2"/>
        <v>0.283314375</v>
      </c>
      <c r="K37" s="551">
        <v>0.45611350488703734</v>
      </c>
      <c r="L37" s="548">
        <f t="shared" si="0"/>
        <v>0.45611350488703734</v>
      </c>
      <c r="N37" s="769"/>
      <c r="O37" s="769"/>
    </row>
    <row r="38" spans="1:15" ht="12.75">
      <c r="A38" s="262">
        <v>27</v>
      </c>
      <c r="B38" s="586" t="s">
        <v>745</v>
      </c>
      <c r="C38" s="548">
        <f>'AT5D_Drought_PLAN_vs_PRFM  '!F38*150/1000000</f>
        <v>280.6023</v>
      </c>
      <c r="D38" s="548">
        <f>'AT5D_Drought_PLAN_vs_PRFM  '!H38*150/1000000</f>
        <v>67.78035</v>
      </c>
      <c r="E38" s="548">
        <f>'AT5D_Drought_PLAN_vs_PRFM  '!F38*6.18/100000</f>
        <v>115.6081476</v>
      </c>
      <c r="F38" s="548">
        <f>'AT5D_Drought_PLAN_vs_PRFM  '!H38*6.48/100000</f>
        <v>29.2811112</v>
      </c>
      <c r="G38" s="548">
        <v>18.74</v>
      </c>
      <c r="H38" s="548">
        <v>18.74</v>
      </c>
      <c r="I38" s="548">
        <f t="shared" si="1"/>
        <v>2.1045172500000002</v>
      </c>
      <c r="J38" s="548">
        <f t="shared" si="2"/>
        <v>0.508352625</v>
      </c>
      <c r="K38" s="551">
        <v>1.6833440333279925</v>
      </c>
      <c r="L38" s="548">
        <f t="shared" si="0"/>
        <v>1.6833440333279925</v>
      </c>
      <c r="N38" s="769"/>
      <c r="O38" s="769"/>
    </row>
    <row r="39" spans="1:14" ht="12.75">
      <c r="A39" s="1273" t="s">
        <v>19</v>
      </c>
      <c r="B39" s="1274"/>
      <c r="C39" s="550">
        <f>SUM(C12:C38)</f>
        <v>6241.084500000001</v>
      </c>
      <c r="D39" s="550">
        <f>SUM(D12:D38)</f>
        <v>1597.4994000000002</v>
      </c>
      <c r="E39" s="546">
        <f aca="true" t="shared" si="3" ref="E39:L39">SUM(E12:E38)</f>
        <v>2571.326814</v>
      </c>
      <c r="F39" s="546">
        <f t="shared" si="3"/>
        <v>690.1197408000002</v>
      </c>
      <c r="G39" s="546">
        <f t="shared" si="3"/>
        <v>605.684</v>
      </c>
      <c r="H39" s="546">
        <f t="shared" si="3"/>
        <v>605.516</v>
      </c>
      <c r="I39" s="550">
        <f t="shared" si="3"/>
        <v>46.80813374999999</v>
      </c>
      <c r="J39" s="546">
        <f t="shared" si="3"/>
        <v>11.9812455</v>
      </c>
      <c r="K39" s="546">
        <f t="shared" si="3"/>
        <v>37.44050691876302</v>
      </c>
      <c r="L39" s="550">
        <f t="shared" si="3"/>
        <v>37.44050691876302</v>
      </c>
      <c r="N39" s="769"/>
    </row>
    <row r="40" spans="1:14" ht="12.75">
      <c r="A40" s="95"/>
      <c r="B40" s="537"/>
      <c r="C40" s="537"/>
      <c r="D40" s="536"/>
      <c r="E40" s="536"/>
      <c r="F40" s="536"/>
      <c r="G40" s="536"/>
      <c r="H40" s="536"/>
      <c r="I40" s="536"/>
      <c r="J40" s="536"/>
      <c r="N40" s="769"/>
    </row>
    <row r="41" spans="1:14" ht="12.75">
      <c r="A41" s="95"/>
      <c r="B41" s="537"/>
      <c r="C41" s="537"/>
      <c r="D41" s="536"/>
      <c r="E41" s="536"/>
      <c r="F41" s="536"/>
      <c r="G41" s="536"/>
      <c r="H41" s="536"/>
      <c r="I41" s="536"/>
      <c r="J41" s="536"/>
      <c r="N41" s="769"/>
    </row>
    <row r="42" spans="1:10" ht="12.75">
      <c r="A42" s="95"/>
      <c r="B42" s="537"/>
      <c r="C42" s="537"/>
      <c r="D42" s="536"/>
      <c r="E42" s="536"/>
      <c r="F42" s="536"/>
      <c r="G42" s="536"/>
      <c r="H42" s="536"/>
      <c r="I42" s="536"/>
      <c r="J42" s="536"/>
    </row>
    <row r="43" spans="1:10" ht="15.75" customHeight="1">
      <c r="A43" s="98" t="s">
        <v>12</v>
      </c>
      <c r="B43" s="98"/>
      <c r="C43" s="98"/>
      <c r="D43" s="98"/>
      <c r="E43" s="98"/>
      <c r="F43" s="98"/>
      <c r="G43" s="98"/>
      <c r="I43" s="1271" t="s">
        <v>13</v>
      </c>
      <c r="J43" s="1271"/>
    </row>
    <row r="44" spans="1:10" ht="12.75" customHeight="1">
      <c r="A44" s="1272" t="s">
        <v>800</v>
      </c>
      <c r="B44" s="1272"/>
      <c r="C44" s="1272"/>
      <c r="D44" s="1272"/>
      <c r="E44" s="1272"/>
      <c r="F44" s="1272"/>
      <c r="G44" s="1272"/>
      <c r="H44" s="1272"/>
      <c r="I44" s="1272"/>
      <c r="J44" s="1272"/>
    </row>
    <row r="45" spans="1:11" ht="12.75" customHeight="1">
      <c r="A45" s="538"/>
      <c r="B45" s="538"/>
      <c r="C45" s="538"/>
      <c r="D45" s="538"/>
      <c r="E45" s="538"/>
      <c r="F45" s="538"/>
      <c r="G45" s="538"/>
      <c r="H45" s="1271" t="s">
        <v>727</v>
      </c>
      <c r="I45" s="1271"/>
      <c r="J45" s="1271"/>
      <c r="K45" s="1271"/>
    </row>
    <row r="46" spans="1:10" ht="12.75">
      <c r="A46" s="98"/>
      <c r="B46" s="98"/>
      <c r="C46" s="98"/>
      <c r="E46" s="98"/>
      <c r="H46" s="1266" t="s">
        <v>84</v>
      </c>
      <c r="I46" s="1266"/>
      <c r="J46" s="1266"/>
    </row>
    <row r="50" spans="1:10" ht="12.75">
      <c r="A50" s="1269"/>
      <c r="B50" s="1269"/>
      <c r="C50" s="1269"/>
      <c r="D50" s="1269"/>
      <c r="E50" s="1269"/>
      <c r="F50" s="1269"/>
      <c r="G50" s="1269"/>
      <c r="H50" s="1269"/>
      <c r="I50" s="1269"/>
      <c r="J50" s="1269"/>
    </row>
    <row r="52" spans="1:10" ht="12.75">
      <c r="A52" s="1269"/>
      <c r="B52" s="1269"/>
      <c r="C52" s="1269"/>
      <c r="D52" s="1269"/>
      <c r="E52" s="1269"/>
      <c r="F52" s="1269"/>
      <c r="G52" s="1269"/>
      <c r="H52" s="1269"/>
      <c r="I52" s="1269"/>
      <c r="J52" s="1269"/>
    </row>
  </sheetData>
  <sheetProtection/>
  <mergeCells count="21">
    <mergeCell ref="E9:F9"/>
    <mergeCell ref="G9:H9"/>
    <mergeCell ref="I9:J9"/>
    <mergeCell ref="A39:B39"/>
    <mergeCell ref="A52:J52"/>
    <mergeCell ref="K9:L9"/>
    <mergeCell ref="I43:J43"/>
    <mergeCell ref="A44:J44"/>
    <mergeCell ref="H45:K45"/>
    <mergeCell ref="H46:J46"/>
    <mergeCell ref="A50:J50"/>
    <mergeCell ref="A9:A10"/>
    <mergeCell ref="B9:B10"/>
    <mergeCell ref="C9:D9"/>
    <mergeCell ref="E1:I1"/>
    <mergeCell ref="A2:J2"/>
    <mergeCell ref="A3:J3"/>
    <mergeCell ref="A5:L5"/>
    <mergeCell ref="A8:B8"/>
    <mergeCell ref="H8:J8"/>
    <mergeCell ref="K8:L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5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17" sqref="O1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AD61"/>
  <sheetViews>
    <sheetView zoomScaleSheetLayoutView="80" zoomScalePageLayoutView="0" workbookViewId="0" topLeftCell="A16">
      <selection activeCell="F28" sqref="F28"/>
    </sheetView>
  </sheetViews>
  <sheetFormatPr defaultColWidth="9.140625" defaultRowHeight="12.75"/>
  <cols>
    <col min="2" max="2" width="8.00390625" style="0" customWidth="1"/>
    <col min="3" max="3" width="15.28125" style="0" customWidth="1"/>
    <col min="4" max="4" width="9.7109375" style="0" customWidth="1"/>
    <col min="6" max="6" width="9.57421875" style="0" customWidth="1"/>
    <col min="7" max="7" width="9.7109375" style="0" customWidth="1"/>
    <col min="8" max="8" width="10.00390625" style="0" customWidth="1"/>
    <col min="9" max="9" width="9.8515625" style="0" customWidth="1"/>
    <col min="11" max="11" width="10.7109375" style="0" customWidth="1"/>
    <col min="12" max="12" width="8.8515625" style="0" customWidth="1"/>
    <col min="13" max="13" width="10.57421875" style="0" customWidth="1"/>
    <col min="14" max="14" width="10.7109375" style="0" customWidth="1"/>
    <col min="15" max="15" width="11.00390625" style="0" customWidth="1"/>
  </cols>
  <sheetData>
    <row r="1" spans="5:14" ht="12.75" customHeight="1">
      <c r="E1" s="853"/>
      <c r="F1" s="853"/>
      <c r="G1" s="853"/>
      <c r="H1" s="853"/>
      <c r="I1" s="853"/>
      <c r="J1" s="853"/>
      <c r="M1" s="967" t="s">
        <v>88</v>
      </c>
      <c r="N1" s="967"/>
    </row>
    <row r="2" spans="2:14" ht="15.75">
      <c r="B2" s="901" t="s">
        <v>0</v>
      </c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</row>
    <row r="3" spans="2:14" ht="20.25">
      <c r="B3" s="902" t="s">
        <v>859</v>
      </c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</row>
    <row r="4" ht="11.25" customHeight="1"/>
    <row r="5" spans="2:14" ht="15.75">
      <c r="B5" s="901" t="s">
        <v>905</v>
      </c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</row>
    <row r="7" spans="2:15" ht="12.75">
      <c r="B7" s="35" t="s">
        <v>634</v>
      </c>
      <c r="C7" s="35"/>
      <c r="L7" s="110"/>
      <c r="M7" s="968" t="s">
        <v>906</v>
      </c>
      <c r="N7" s="968"/>
      <c r="O7" s="968"/>
    </row>
    <row r="8" spans="2:15" ht="12.75">
      <c r="B8" s="31"/>
      <c r="C8" s="31"/>
      <c r="L8" s="100"/>
      <c r="M8" s="122"/>
      <c r="N8" s="129"/>
      <c r="O8" s="122"/>
    </row>
    <row r="9" spans="2:15" ht="15.75" customHeight="1">
      <c r="B9" s="963" t="s">
        <v>2</v>
      </c>
      <c r="C9" s="963" t="s">
        <v>3</v>
      </c>
      <c r="D9" s="876" t="s">
        <v>4</v>
      </c>
      <c r="E9" s="876"/>
      <c r="F9" s="876"/>
      <c r="G9" s="867"/>
      <c r="H9" s="966"/>
      <c r="I9" s="868" t="s">
        <v>103</v>
      </c>
      <c r="J9" s="868"/>
      <c r="K9" s="868"/>
      <c r="L9" s="868"/>
      <c r="M9" s="868"/>
      <c r="N9" s="963" t="s">
        <v>140</v>
      </c>
      <c r="O9" s="871" t="s">
        <v>141</v>
      </c>
    </row>
    <row r="10" spans="2:17" ht="38.25">
      <c r="B10" s="964"/>
      <c r="C10" s="964"/>
      <c r="D10" s="5" t="s">
        <v>5</v>
      </c>
      <c r="E10" s="5" t="s">
        <v>6</v>
      </c>
      <c r="F10" s="5" t="s">
        <v>353</v>
      </c>
      <c r="G10" s="7" t="s">
        <v>101</v>
      </c>
      <c r="H10" s="6" t="s">
        <v>354</v>
      </c>
      <c r="I10" s="5" t="s">
        <v>5</v>
      </c>
      <c r="J10" s="5" t="s">
        <v>6</v>
      </c>
      <c r="K10" s="5" t="s">
        <v>353</v>
      </c>
      <c r="L10" s="7" t="s">
        <v>101</v>
      </c>
      <c r="M10" s="7" t="s">
        <v>355</v>
      </c>
      <c r="N10" s="964"/>
      <c r="O10" s="871"/>
      <c r="P10" s="12"/>
      <c r="Q10" s="12"/>
    </row>
    <row r="11" spans="2:30" s="14" customFormat="1" ht="12.75"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  <c r="N11" s="2">
        <v>13</v>
      </c>
      <c r="O11" s="2">
        <v>14</v>
      </c>
      <c r="AD11" s="14">
        <f>ROUND(L11/G11*100,2)</f>
        <v>183.33</v>
      </c>
    </row>
    <row r="12" spans="2:30" s="14" customFormat="1" ht="15">
      <c r="B12" s="637">
        <v>1</v>
      </c>
      <c r="C12" s="9" t="s">
        <v>898</v>
      </c>
      <c r="D12" s="638">
        <v>1388</v>
      </c>
      <c r="E12" s="638">
        <v>12</v>
      </c>
      <c r="F12" s="638">
        <v>0</v>
      </c>
      <c r="G12" s="638">
        <v>12</v>
      </c>
      <c r="H12" s="290">
        <f>SUM(D12:G12)</f>
        <v>1412</v>
      </c>
      <c r="I12" s="290">
        <f aca="true" t="shared" si="0" ref="I12:I38">D12</f>
        <v>1388</v>
      </c>
      <c r="J12" s="290">
        <f aca="true" t="shared" si="1" ref="J12:J38">E12</f>
        <v>12</v>
      </c>
      <c r="K12" s="290">
        <f aca="true" t="shared" si="2" ref="K12:K38">F12</f>
        <v>0</v>
      </c>
      <c r="L12" s="305">
        <f>G12</f>
        <v>12</v>
      </c>
      <c r="M12" s="290">
        <f aca="true" t="shared" si="3" ref="M12:M38">SUM(I12:L12)</f>
        <v>1412</v>
      </c>
      <c r="N12" s="290">
        <v>0</v>
      </c>
      <c r="O12" s="9"/>
      <c r="AD12" s="14">
        <f aca="true" t="shared" si="4" ref="AD12:AD38">ROUND(L12/G12*100,2)</f>
        <v>100</v>
      </c>
    </row>
    <row r="13" spans="2:30" s="14" customFormat="1" ht="15">
      <c r="B13" s="637">
        <v>2</v>
      </c>
      <c r="C13" s="9" t="s">
        <v>899</v>
      </c>
      <c r="D13" s="638">
        <v>1359</v>
      </c>
      <c r="E13" s="638">
        <v>11</v>
      </c>
      <c r="F13" s="638">
        <v>0</v>
      </c>
      <c r="G13" s="638">
        <v>25</v>
      </c>
      <c r="H13" s="290">
        <f aca="true" t="shared" si="5" ref="H13:H38">SUM(D13:G13)</f>
        <v>1395</v>
      </c>
      <c r="I13" s="290">
        <f t="shared" si="0"/>
        <v>1359</v>
      </c>
      <c r="J13" s="290">
        <f t="shared" si="1"/>
        <v>11</v>
      </c>
      <c r="K13" s="290">
        <f t="shared" si="2"/>
        <v>0</v>
      </c>
      <c r="L13" s="305">
        <f aca="true" t="shared" si="6" ref="L13:L38">G13</f>
        <v>25</v>
      </c>
      <c r="M13" s="290">
        <f t="shared" si="3"/>
        <v>1395</v>
      </c>
      <c r="N13" s="290">
        <v>0</v>
      </c>
      <c r="O13" s="9"/>
      <c r="AD13" s="14">
        <f t="shared" si="4"/>
        <v>100</v>
      </c>
    </row>
    <row r="14" spans="2:30" s="14" customFormat="1" ht="15">
      <c r="B14" s="637">
        <v>3</v>
      </c>
      <c r="C14" s="9" t="s">
        <v>839</v>
      </c>
      <c r="D14" s="638">
        <v>1331</v>
      </c>
      <c r="E14" s="638">
        <v>10</v>
      </c>
      <c r="F14" s="638">
        <v>0</v>
      </c>
      <c r="G14" s="638">
        <v>19</v>
      </c>
      <c r="H14" s="290">
        <f t="shared" si="5"/>
        <v>1360</v>
      </c>
      <c r="I14" s="290">
        <f t="shared" si="0"/>
        <v>1331</v>
      </c>
      <c r="J14" s="290">
        <f t="shared" si="1"/>
        <v>10</v>
      </c>
      <c r="K14" s="290">
        <f t="shared" si="2"/>
        <v>0</v>
      </c>
      <c r="L14" s="305">
        <f t="shared" si="6"/>
        <v>19</v>
      </c>
      <c r="M14" s="290">
        <f t="shared" si="3"/>
        <v>1360</v>
      </c>
      <c r="N14" s="290">
        <v>0</v>
      </c>
      <c r="O14" s="9"/>
      <c r="AD14" s="14">
        <f t="shared" si="4"/>
        <v>100</v>
      </c>
    </row>
    <row r="15" spans="2:30" s="14" customFormat="1" ht="15">
      <c r="B15" s="637">
        <v>4</v>
      </c>
      <c r="C15" s="9" t="s">
        <v>743</v>
      </c>
      <c r="D15" s="638">
        <v>1666</v>
      </c>
      <c r="E15" s="638">
        <v>38</v>
      </c>
      <c r="F15" s="638">
        <v>0</v>
      </c>
      <c r="G15" s="638">
        <v>14</v>
      </c>
      <c r="H15" s="290">
        <f t="shared" si="5"/>
        <v>1718</v>
      </c>
      <c r="I15" s="290">
        <f t="shared" si="0"/>
        <v>1666</v>
      </c>
      <c r="J15" s="290">
        <f t="shared" si="1"/>
        <v>38</v>
      </c>
      <c r="K15" s="290">
        <f t="shared" si="2"/>
        <v>0</v>
      </c>
      <c r="L15" s="305">
        <f t="shared" si="6"/>
        <v>14</v>
      </c>
      <c r="M15" s="290">
        <f t="shared" si="3"/>
        <v>1718</v>
      </c>
      <c r="N15" s="290">
        <v>0</v>
      </c>
      <c r="O15" s="9"/>
      <c r="AD15" s="14">
        <f t="shared" si="4"/>
        <v>100</v>
      </c>
    </row>
    <row r="16" spans="2:30" s="14" customFormat="1" ht="15">
      <c r="B16" s="637">
        <v>5</v>
      </c>
      <c r="C16" s="9" t="s">
        <v>748</v>
      </c>
      <c r="D16" s="638">
        <v>1972</v>
      </c>
      <c r="E16" s="638">
        <v>6</v>
      </c>
      <c r="F16" s="638">
        <v>0</v>
      </c>
      <c r="G16" s="638">
        <v>7</v>
      </c>
      <c r="H16" s="290">
        <f t="shared" si="5"/>
        <v>1985</v>
      </c>
      <c r="I16" s="290">
        <f t="shared" si="0"/>
        <v>1972</v>
      </c>
      <c r="J16" s="290">
        <f t="shared" si="1"/>
        <v>6</v>
      </c>
      <c r="K16" s="290">
        <f t="shared" si="2"/>
        <v>0</v>
      </c>
      <c r="L16" s="305">
        <f t="shared" si="6"/>
        <v>7</v>
      </c>
      <c r="M16" s="290">
        <f t="shared" si="3"/>
        <v>1985</v>
      </c>
      <c r="N16" s="290">
        <v>0</v>
      </c>
      <c r="O16" s="9"/>
      <c r="AD16" s="14">
        <f t="shared" si="4"/>
        <v>100</v>
      </c>
    </row>
    <row r="17" spans="2:30" s="14" customFormat="1" ht="16.5" customHeight="1">
      <c r="B17" s="637">
        <v>6</v>
      </c>
      <c r="C17" s="9" t="s">
        <v>747</v>
      </c>
      <c r="D17" s="638">
        <v>1853</v>
      </c>
      <c r="E17" s="638">
        <v>6</v>
      </c>
      <c r="F17" s="638">
        <v>0</v>
      </c>
      <c r="G17" s="638">
        <v>3</v>
      </c>
      <c r="H17" s="290">
        <f t="shared" si="5"/>
        <v>1862</v>
      </c>
      <c r="I17" s="290">
        <f t="shared" si="0"/>
        <v>1853</v>
      </c>
      <c r="J17" s="290">
        <f t="shared" si="1"/>
        <v>6</v>
      </c>
      <c r="K17" s="290">
        <f t="shared" si="2"/>
        <v>0</v>
      </c>
      <c r="L17" s="305">
        <f t="shared" si="6"/>
        <v>3</v>
      </c>
      <c r="M17" s="290">
        <f t="shared" si="3"/>
        <v>1862</v>
      </c>
      <c r="N17" s="290">
        <v>0</v>
      </c>
      <c r="O17" s="9"/>
      <c r="AD17" s="14">
        <f t="shared" si="4"/>
        <v>100</v>
      </c>
    </row>
    <row r="18" spans="2:30" s="14" customFormat="1" ht="15">
      <c r="B18" s="637">
        <v>7</v>
      </c>
      <c r="C18" s="9" t="s">
        <v>737</v>
      </c>
      <c r="D18" s="638">
        <v>585</v>
      </c>
      <c r="E18" s="638">
        <v>11</v>
      </c>
      <c r="F18" s="638">
        <v>0</v>
      </c>
      <c r="G18" s="638">
        <v>13</v>
      </c>
      <c r="H18" s="290">
        <f t="shared" si="5"/>
        <v>609</v>
      </c>
      <c r="I18" s="290">
        <f t="shared" si="0"/>
        <v>585</v>
      </c>
      <c r="J18" s="290">
        <f t="shared" si="1"/>
        <v>11</v>
      </c>
      <c r="K18" s="290">
        <f t="shared" si="2"/>
        <v>0</v>
      </c>
      <c r="L18" s="305">
        <f t="shared" si="6"/>
        <v>13</v>
      </c>
      <c r="M18" s="290">
        <f t="shared" si="3"/>
        <v>609</v>
      </c>
      <c r="N18" s="290">
        <v>0</v>
      </c>
      <c r="O18" s="9"/>
      <c r="AD18" s="14">
        <f t="shared" si="4"/>
        <v>100</v>
      </c>
    </row>
    <row r="19" spans="2:30" s="14" customFormat="1" ht="15">
      <c r="B19" s="637">
        <v>8</v>
      </c>
      <c r="C19" s="9" t="s">
        <v>749</v>
      </c>
      <c r="D19" s="638">
        <v>761</v>
      </c>
      <c r="E19" s="638">
        <v>17</v>
      </c>
      <c r="F19" s="638">
        <v>0</v>
      </c>
      <c r="G19" s="638">
        <v>21</v>
      </c>
      <c r="H19" s="290">
        <f t="shared" si="5"/>
        <v>799</v>
      </c>
      <c r="I19" s="290">
        <f t="shared" si="0"/>
        <v>761</v>
      </c>
      <c r="J19" s="290">
        <f t="shared" si="1"/>
        <v>17</v>
      </c>
      <c r="K19" s="290">
        <f t="shared" si="2"/>
        <v>0</v>
      </c>
      <c r="L19" s="305">
        <f t="shared" si="6"/>
        <v>21</v>
      </c>
      <c r="M19" s="290">
        <f t="shared" si="3"/>
        <v>799</v>
      </c>
      <c r="N19" s="290">
        <v>0</v>
      </c>
      <c r="O19" s="9"/>
      <c r="AD19" s="14">
        <f t="shared" si="4"/>
        <v>100</v>
      </c>
    </row>
    <row r="20" spans="2:30" s="14" customFormat="1" ht="15">
      <c r="B20" s="637">
        <v>9</v>
      </c>
      <c r="C20" s="9" t="s">
        <v>834</v>
      </c>
      <c r="D20" s="638">
        <v>1524</v>
      </c>
      <c r="E20" s="638">
        <v>14</v>
      </c>
      <c r="F20" s="638">
        <v>1</v>
      </c>
      <c r="G20" s="638">
        <v>6</v>
      </c>
      <c r="H20" s="290">
        <f t="shared" si="5"/>
        <v>1545</v>
      </c>
      <c r="I20" s="290">
        <f t="shared" si="0"/>
        <v>1524</v>
      </c>
      <c r="J20" s="290">
        <f t="shared" si="1"/>
        <v>14</v>
      </c>
      <c r="K20" s="290">
        <f t="shared" si="2"/>
        <v>1</v>
      </c>
      <c r="L20" s="305">
        <f t="shared" si="6"/>
        <v>6</v>
      </c>
      <c r="M20" s="290">
        <f t="shared" si="3"/>
        <v>1545</v>
      </c>
      <c r="N20" s="290">
        <v>0</v>
      </c>
      <c r="O20" s="9"/>
      <c r="AD20" s="14">
        <f t="shared" si="4"/>
        <v>100</v>
      </c>
    </row>
    <row r="21" spans="2:30" s="14" customFormat="1" ht="15">
      <c r="B21" s="637">
        <v>10</v>
      </c>
      <c r="C21" s="9" t="s">
        <v>739</v>
      </c>
      <c r="D21" s="638">
        <v>411</v>
      </c>
      <c r="E21" s="638">
        <v>12</v>
      </c>
      <c r="F21" s="638">
        <v>1</v>
      </c>
      <c r="G21" s="638">
        <v>0</v>
      </c>
      <c r="H21" s="290">
        <f t="shared" si="5"/>
        <v>424</v>
      </c>
      <c r="I21" s="290">
        <f t="shared" si="0"/>
        <v>411</v>
      </c>
      <c r="J21" s="290">
        <f t="shared" si="1"/>
        <v>12</v>
      </c>
      <c r="K21" s="290">
        <f t="shared" si="2"/>
        <v>1</v>
      </c>
      <c r="L21" s="305">
        <f t="shared" si="6"/>
        <v>0</v>
      </c>
      <c r="M21" s="290">
        <f t="shared" si="3"/>
        <v>424</v>
      </c>
      <c r="N21" s="290">
        <v>0</v>
      </c>
      <c r="O21" s="9"/>
      <c r="AD21" s="14" t="e">
        <f t="shared" si="4"/>
        <v>#DIV/0!</v>
      </c>
    </row>
    <row r="22" spans="2:30" s="14" customFormat="1" ht="15">
      <c r="B22" s="637">
        <v>11</v>
      </c>
      <c r="C22" s="9" t="s">
        <v>900</v>
      </c>
      <c r="D22" s="638">
        <v>757</v>
      </c>
      <c r="E22" s="638">
        <v>7</v>
      </c>
      <c r="F22" s="638">
        <v>0</v>
      </c>
      <c r="G22" s="638">
        <v>2</v>
      </c>
      <c r="H22" s="290">
        <f t="shared" si="5"/>
        <v>766</v>
      </c>
      <c r="I22" s="290">
        <f t="shared" si="0"/>
        <v>757</v>
      </c>
      <c r="J22" s="290">
        <f t="shared" si="1"/>
        <v>7</v>
      </c>
      <c r="K22" s="290">
        <f t="shared" si="2"/>
        <v>0</v>
      </c>
      <c r="L22" s="305">
        <f t="shared" si="6"/>
        <v>2</v>
      </c>
      <c r="M22" s="290">
        <f t="shared" si="3"/>
        <v>766</v>
      </c>
      <c r="N22" s="290">
        <v>0</v>
      </c>
      <c r="O22" s="9"/>
      <c r="AD22" s="14">
        <f t="shared" si="4"/>
        <v>100</v>
      </c>
    </row>
    <row r="23" spans="2:30" s="14" customFormat="1" ht="15">
      <c r="B23" s="637">
        <v>12</v>
      </c>
      <c r="C23" s="9" t="s">
        <v>731</v>
      </c>
      <c r="D23" s="638">
        <v>1226</v>
      </c>
      <c r="E23" s="638">
        <v>0</v>
      </c>
      <c r="F23" s="638">
        <v>0</v>
      </c>
      <c r="G23" s="638">
        <v>3</v>
      </c>
      <c r="H23" s="290">
        <f t="shared" si="5"/>
        <v>1229</v>
      </c>
      <c r="I23" s="290">
        <f t="shared" si="0"/>
        <v>1226</v>
      </c>
      <c r="J23" s="290">
        <f t="shared" si="1"/>
        <v>0</v>
      </c>
      <c r="K23" s="290">
        <f t="shared" si="2"/>
        <v>0</v>
      </c>
      <c r="L23" s="305">
        <f t="shared" si="6"/>
        <v>3</v>
      </c>
      <c r="M23" s="290">
        <f t="shared" si="3"/>
        <v>1229</v>
      </c>
      <c r="N23" s="290">
        <v>0</v>
      </c>
      <c r="O23" s="9"/>
      <c r="AD23" s="14">
        <f t="shared" si="4"/>
        <v>100</v>
      </c>
    </row>
    <row r="24" spans="2:30" s="14" customFormat="1" ht="15">
      <c r="B24" s="637">
        <v>13</v>
      </c>
      <c r="C24" s="9" t="s">
        <v>742</v>
      </c>
      <c r="D24" s="638">
        <v>821</v>
      </c>
      <c r="E24" s="638">
        <v>3</v>
      </c>
      <c r="F24" s="638">
        <v>0</v>
      </c>
      <c r="G24" s="638">
        <v>2</v>
      </c>
      <c r="H24" s="290">
        <f t="shared" si="5"/>
        <v>826</v>
      </c>
      <c r="I24" s="290">
        <f t="shared" si="0"/>
        <v>821</v>
      </c>
      <c r="J24" s="290">
        <f t="shared" si="1"/>
        <v>3</v>
      </c>
      <c r="K24" s="290">
        <f t="shared" si="2"/>
        <v>0</v>
      </c>
      <c r="L24" s="305">
        <f t="shared" si="6"/>
        <v>2</v>
      </c>
      <c r="M24" s="290">
        <f t="shared" si="3"/>
        <v>826</v>
      </c>
      <c r="N24" s="290">
        <v>0</v>
      </c>
      <c r="O24" s="9"/>
      <c r="AD24" s="14">
        <f t="shared" si="4"/>
        <v>100</v>
      </c>
    </row>
    <row r="25" spans="2:30" s="14" customFormat="1" ht="15">
      <c r="B25" s="637">
        <v>14</v>
      </c>
      <c r="C25" s="9" t="s">
        <v>740</v>
      </c>
      <c r="D25" s="638">
        <v>743</v>
      </c>
      <c r="E25" s="638">
        <v>0</v>
      </c>
      <c r="F25" s="638">
        <v>0</v>
      </c>
      <c r="G25" s="638">
        <v>2</v>
      </c>
      <c r="H25" s="290">
        <f t="shared" si="5"/>
        <v>745</v>
      </c>
      <c r="I25" s="290">
        <f t="shared" si="0"/>
        <v>743</v>
      </c>
      <c r="J25" s="290">
        <f t="shared" si="1"/>
        <v>0</v>
      </c>
      <c r="K25" s="290">
        <f t="shared" si="2"/>
        <v>0</v>
      </c>
      <c r="L25" s="305">
        <f t="shared" si="6"/>
        <v>2</v>
      </c>
      <c r="M25" s="290">
        <f t="shared" si="3"/>
        <v>745</v>
      </c>
      <c r="N25" s="290">
        <v>0</v>
      </c>
      <c r="O25" s="9"/>
      <c r="AD25" s="14">
        <f t="shared" si="4"/>
        <v>100</v>
      </c>
    </row>
    <row r="26" spans="2:30" ht="15">
      <c r="B26" s="637">
        <v>15</v>
      </c>
      <c r="C26" s="9" t="s">
        <v>734</v>
      </c>
      <c r="D26" s="638">
        <v>980</v>
      </c>
      <c r="E26" s="638">
        <v>2</v>
      </c>
      <c r="F26" s="638">
        <v>0</v>
      </c>
      <c r="G26" s="638">
        <v>0</v>
      </c>
      <c r="H26" s="290">
        <f t="shared" si="5"/>
        <v>982</v>
      </c>
      <c r="I26" s="290">
        <f t="shared" si="0"/>
        <v>980</v>
      </c>
      <c r="J26" s="290">
        <f t="shared" si="1"/>
        <v>2</v>
      </c>
      <c r="K26" s="290">
        <f t="shared" si="2"/>
        <v>0</v>
      </c>
      <c r="L26" s="305">
        <f t="shared" si="6"/>
        <v>0</v>
      </c>
      <c r="M26" s="290">
        <f t="shared" si="3"/>
        <v>982</v>
      </c>
      <c r="N26" s="290">
        <v>0</v>
      </c>
      <c r="O26" s="9"/>
      <c r="AD26" s="14" t="e">
        <f t="shared" si="4"/>
        <v>#DIV/0!</v>
      </c>
    </row>
    <row r="27" spans="2:30" ht="17.25" customHeight="1">
      <c r="B27" s="637">
        <v>16</v>
      </c>
      <c r="C27" s="9" t="s">
        <v>741</v>
      </c>
      <c r="D27" s="638">
        <v>1188</v>
      </c>
      <c r="E27" s="638">
        <v>4</v>
      </c>
      <c r="F27" s="638">
        <v>0</v>
      </c>
      <c r="G27" s="638">
        <v>0</v>
      </c>
      <c r="H27" s="290">
        <f t="shared" si="5"/>
        <v>1192</v>
      </c>
      <c r="I27" s="290">
        <f t="shared" si="0"/>
        <v>1188</v>
      </c>
      <c r="J27" s="290">
        <f t="shared" si="1"/>
        <v>4</v>
      </c>
      <c r="K27" s="290">
        <f t="shared" si="2"/>
        <v>0</v>
      </c>
      <c r="L27" s="305">
        <f t="shared" si="6"/>
        <v>0</v>
      </c>
      <c r="M27" s="290">
        <f t="shared" si="3"/>
        <v>1192</v>
      </c>
      <c r="N27" s="290">
        <v>0</v>
      </c>
      <c r="O27" s="9"/>
      <c r="AD27" s="14" t="e">
        <f t="shared" si="4"/>
        <v>#DIV/0!</v>
      </c>
    </row>
    <row r="28" spans="2:30" ht="15">
      <c r="B28" s="637">
        <v>17</v>
      </c>
      <c r="C28" s="9" t="s">
        <v>733</v>
      </c>
      <c r="D28" s="638">
        <v>955</v>
      </c>
      <c r="E28" s="638">
        <v>7</v>
      </c>
      <c r="F28" s="638">
        <v>1</v>
      </c>
      <c r="G28" s="638">
        <v>3</v>
      </c>
      <c r="H28" s="290">
        <f t="shared" si="5"/>
        <v>966</v>
      </c>
      <c r="I28" s="290">
        <f t="shared" si="0"/>
        <v>955</v>
      </c>
      <c r="J28" s="290">
        <f t="shared" si="1"/>
        <v>7</v>
      </c>
      <c r="K28" s="290">
        <f t="shared" si="2"/>
        <v>1</v>
      </c>
      <c r="L28" s="305">
        <f t="shared" si="6"/>
        <v>3</v>
      </c>
      <c r="M28" s="290">
        <f t="shared" si="3"/>
        <v>966</v>
      </c>
      <c r="N28" s="290">
        <v>0</v>
      </c>
      <c r="O28" s="9"/>
      <c r="AD28" s="14">
        <f t="shared" si="4"/>
        <v>100</v>
      </c>
    </row>
    <row r="29" spans="2:30" ht="15">
      <c r="B29" s="637">
        <v>18</v>
      </c>
      <c r="C29" s="9" t="s">
        <v>735</v>
      </c>
      <c r="D29" s="638">
        <v>1534</v>
      </c>
      <c r="E29" s="638">
        <v>17</v>
      </c>
      <c r="F29" s="638">
        <v>0</v>
      </c>
      <c r="G29" s="638">
        <v>1</v>
      </c>
      <c r="H29" s="290">
        <f t="shared" si="5"/>
        <v>1552</v>
      </c>
      <c r="I29" s="290">
        <f t="shared" si="0"/>
        <v>1534</v>
      </c>
      <c r="J29" s="290">
        <f t="shared" si="1"/>
        <v>17</v>
      </c>
      <c r="K29" s="290">
        <f t="shared" si="2"/>
        <v>0</v>
      </c>
      <c r="L29" s="305">
        <f t="shared" si="6"/>
        <v>1</v>
      </c>
      <c r="M29" s="290">
        <f t="shared" si="3"/>
        <v>1552</v>
      </c>
      <c r="N29" s="290">
        <v>0</v>
      </c>
      <c r="O29" s="9"/>
      <c r="AD29" s="14">
        <f t="shared" si="4"/>
        <v>100</v>
      </c>
    </row>
    <row r="30" spans="2:30" ht="15">
      <c r="B30" s="637">
        <v>19</v>
      </c>
      <c r="C30" s="9" t="s">
        <v>732</v>
      </c>
      <c r="D30" s="638">
        <v>1487</v>
      </c>
      <c r="E30" s="638">
        <v>3</v>
      </c>
      <c r="F30" s="638">
        <v>2</v>
      </c>
      <c r="G30" s="638">
        <v>3</v>
      </c>
      <c r="H30" s="290">
        <f t="shared" si="5"/>
        <v>1495</v>
      </c>
      <c r="I30" s="290">
        <f t="shared" si="0"/>
        <v>1487</v>
      </c>
      <c r="J30" s="290">
        <f t="shared" si="1"/>
        <v>3</v>
      </c>
      <c r="K30" s="290">
        <f t="shared" si="2"/>
        <v>2</v>
      </c>
      <c r="L30" s="305">
        <f t="shared" si="6"/>
        <v>3</v>
      </c>
      <c r="M30" s="290">
        <f t="shared" si="3"/>
        <v>1495</v>
      </c>
      <c r="N30" s="290">
        <v>0</v>
      </c>
      <c r="O30" s="9"/>
      <c r="AD30" s="14">
        <f t="shared" si="4"/>
        <v>100</v>
      </c>
    </row>
    <row r="31" spans="2:30" ht="15">
      <c r="B31" s="637">
        <v>20</v>
      </c>
      <c r="C31" s="9" t="s">
        <v>836</v>
      </c>
      <c r="D31" s="638">
        <v>1648</v>
      </c>
      <c r="E31" s="638">
        <v>78</v>
      </c>
      <c r="F31" s="638">
        <v>0</v>
      </c>
      <c r="G31" s="638">
        <v>20</v>
      </c>
      <c r="H31" s="290">
        <f t="shared" si="5"/>
        <v>1746</v>
      </c>
      <c r="I31" s="290">
        <f t="shared" si="0"/>
        <v>1648</v>
      </c>
      <c r="J31" s="290">
        <f t="shared" si="1"/>
        <v>78</v>
      </c>
      <c r="K31" s="290">
        <f t="shared" si="2"/>
        <v>0</v>
      </c>
      <c r="L31" s="305">
        <f t="shared" si="6"/>
        <v>20</v>
      </c>
      <c r="M31" s="290">
        <f t="shared" si="3"/>
        <v>1746</v>
      </c>
      <c r="N31" s="290">
        <v>0</v>
      </c>
      <c r="O31" s="9"/>
      <c r="AD31" s="14">
        <f t="shared" si="4"/>
        <v>100</v>
      </c>
    </row>
    <row r="32" spans="2:30" ht="15">
      <c r="B32" s="637">
        <v>21</v>
      </c>
      <c r="C32" s="9" t="s">
        <v>729</v>
      </c>
      <c r="D32" s="638">
        <v>974</v>
      </c>
      <c r="E32" s="638">
        <v>9</v>
      </c>
      <c r="F32" s="638">
        <v>1</v>
      </c>
      <c r="G32" s="638">
        <v>1</v>
      </c>
      <c r="H32" s="290">
        <f t="shared" si="5"/>
        <v>985</v>
      </c>
      <c r="I32" s="290">
        <f t="shared" si="0"/>
        <v>974</v>
      </c>
      <c r="J32" s="290">
        <f t="shared" si="1"/>
        <v>9</v>
      </c>
      <c r="K32" s="290">
        <f t="shared" si="2"/>
        <v>1</v>
      </c>
      <c r="L32" s="305">
        <f t="shared" si="6"/>
        <v>1</v>
      </c>
      <c r="M32" s="290">
        <f t="shared" si="3"/>
        <v>985</v>
      </c>
      <c r="N32" s="290">
        <v>0</v>
      </c>
      <c r="O32" s="9"/>
      <c r="AD32" s="14">
        <f t="shared" si="4"/>
        <v>100</v>
      </c>
    </row>
    <row r="33" spans="2:30" ht="14.25" customHeight="1">
      <c r="B33" s="637">
        <v>22</v>
      </c>
      <c r="C33" s="9" t="s">
        <v>746</v>
      </c>
      <c r="D33" s="638">
        <v>1284</v>
      </c>
      <c r="E33" s="638">
        <v>16</v>
      </c>
      <c r="F33" s="638">
        <v>2</v>
      </c>
      <c r="G33" s="638">
        <v>5</v>
      </c>
      <c r="H33" s="290">
        <f t="shared" si="5"/>
        <v>1307</v>
      </c>
      <c r="I33" s="290">
        <f t="shared" si="0"/>
        <v>1284</v>
      </c>
      <c r="J33" s="290">
        <f t="shared" si="1"/>
        <v>16</v>
      </c>
      <c r="K33" s="290">
        <f t="shared" si="2"/>
        <v>2</v>
      </c>
      <c r="L33" s="305">
        <f t="shared" si="6"/>
        <v>5</v>
      </c>
      <c r="M33" s="290">
        <f t="shared" si="3"/>
        <v>1307</v>
      </c>
      <c r="N33" s="290">
        <v>0</v>
      </c>
      <c r="O33" s="9"/>
      <c r="AD33" s="14">
        <f t="shared" si="4"/>
        <v>100</v>
      </c>
    </row>
    <row r="34" spans="2:30" ht="15">
      <c r="B34" s="637">
        <v>23</v>
      </c>
      <c r="C34" s="9" t="s">
        <v>738</v>
      </c>
      <c r="D34" s="638">
        <v>878</v>
      </c>
      <c r="E34" s="638">
        <v>5</v>
      </c>
      <c r="F34" s="638">
        <v>0</v>
      </c>
      <c r="G34" s="638">
        <v>1</v>
      </c>
      <c r="H34" s="290">
        <f t="shared" si="5"/>
        <v>884</v>
      </c>
      <c r="I34" s="290">
        <f t="shared" si="0"/>
        <v>878</v>
      </c>
      <c r="J34" s="290">
        <f t="shared" si="1"/>
        <v>5</v>
      </c>
      <c r="K34" s="290">
        <f t="shared" si="2"/>
        <v>0</v>
      </c>
      <c r="L34" s="305">
        <f t="shared" si="6"/>
        <v>1</v>
      </c>
      <c r="M34" s="290">
        <f t="shared" si="3"/>
        <v>884</v>
      </c>
      <c r="N34" s="290">
        <v>0</v>
      </c>
      <c r="O34" s="9"/>
      <c r="AD34" s="14">
        <f t="shared" si="4"/>
        <v>100</v>
      </c>
    </row>
    <row r="35" spans="2:30" ht="15">
      <c r="B35" s="637">
        <v>24</v>
      </c>
      <c r="C35" s="9" t="s">
        <v>730</v>
      </c>
      <c r="D35" s="638">
        <v>1587</v>
      </c>
      <c r="E35" s="638">
        <v>1</v>
      </c>
      <c r="F35" s="638">
        <v>1</v>
      </c>
      <c r="G35" s="638">
        <v>3</v>
      </c>
      <c r="H35" s="290">
        <f t="shared" si="5"/>
        <v>1592</v>
      </c>
      <c r="I35" s="290">
        <f t="shared" si="0"/>
        <v>1587</v>
      </c>
      <c r="J35" s="290">
        <f t="shared" si="1"/>
        <v>1</v>
      </c>
      <c r="K35" s="290">
        <f t="shared" si="2"/>
        <v>1</v>
      </c>
      <c r="L35" s="305">
        <f t="shared" si="6"/>
        <v>3</v>
      </c>
      <c r="M35" s="290">
        <f t="shared" si="3"/>
        <v>1592</v>
      </c>
      <c r="N35" s="290">
        <v>0</v>
      </c>
      <c r="O35" s="9"/>
      <c r="AD35" s="14">
        <f t="shared" si="4"/>
        <v>100</v>
      </c>
    </row>
    <row r="36" spans="2:30" ht="15">
      <c r="B36" s="637">
        <v>25</v>
      </c>
      <c r="C36" s="9" t="s">
        <v>736</v>
      </c>
      <c r="D36" s="638">
        <v>632</v>
      </c>
      <c r="E36" s="638">
        <v>13</v>
      </c>
      <c r="F36" s="638">
        <v>1</v>
      </c>
      <c r="G36" s="638">
        <v>1</v>
      </c>
      <c r="H36" s="290">
        <f t="shared" si="5"/>
        <v>647</v>
      </c>
      <c r="I36" s="290">
        <f t="shared" si="0"/>
        <v>632</v>
      </c>
      <c r="J36" s="290">
        <f t="shared" si="1"/>
        <v>13</v>
      </c>
      <c r="K36" s="290">
        <f t="shared" si="2"/>
        <v>1</v>
      </c>
      <c r="L36" s="305">
        <f t="shared" si="6"/>
        <v>1</v>
      </c>
      <c r="M36" s="290">
        <f t="shared" si="3"/>
        <v>647</v>
      </c>
      <c r="N36" s="290">
        <v>0</v>
      </c>
      <c r="O36" s="9"/>
      <c r="AD36" s="14">
        <f t="shared" si="4"/>
        <v>100</v>
      </c>
    </row>
    <row r="37" spans="2:30" ht="15">
      <c r="B37" s="637">
        <v>26</v>
      </c>
      <c r="C37" s="9" t="s">
        <v>744</v>
      </c>
      <c r="D37" s="638">
        <v>673</v>
      </c>
      <c r="E37" s="638">
        <v>7</v>
      </c>
      <c r="F37" s="638">
        <v>0</v>
      </c>
      <c r="G37" s="638">
        <v>0</v>
      </c>
      <c r="H37" s="290">
        <f t="shared" si="5"/>
        <v>680</v>
      </c>
      <c r="I37" s="290">
        <f t="shared" si="0"/>
        <v>673</v>
      </c>
      <c r="J37" s="290">
        <f t="shared" si="1"/>
        <v>7</v>
      </c>
      <c r="K37" s="290">
        <f t="shared" si="2"/>
        <v>0</v>
      </c>
      <c r="L37" s="305">
        <f t="shared" si="6"/>
        <v>0</v>
      </c>
      <c r="M37" s="290">
        <f t="shared" si="3"/>
        <v>680</v>
      </c>
      <c r="N37" s="290">
        <v>0</v>
      </c>
      <c r="O37" s="9"/>
      <c r="AD37" s="14" t="e">
        <f t="shared" si="4"/>
        <v>#DIV/0!</v>
      </c>
    </row>
    <row r="38" spans="2:30" ht="15">
      <c r="B38" s="637">
        <v>27</v>
      </c>
      <c r="C38" s="9" t="s">
        <v>745</v>
      </c>
      <c r="D38" s="638">
        <v>662</v>
      </c>
      <c r="E38" s="638">
        <v>2</v>
      </c>
      <c r="F38" s="638">
        <v>0</v>
      </c>
      <c r="G38" s="638">
        <v>2</v>
      </c>
      <c r="H38" s="290">
        <f t="shared" si="5"/>
        <v>666</v>
      </c>
      <c r="I38" s="290">
        <f t="shared" si="0"/>
        <v>662</v>
      </c>
      <c r="J38" s="290">
        <f t="shared" si="1"/>
        <v>2</v>
      </c>
      <c r="K38" s="290">
        <f t="shared" si="2"/>
        <v>0</v>
      </c>
      <c r="L38" s="305">
        <f t="shared" si="6"/>
        <v>2</v>
      </c>
      <c r="M38" s="290">
        <f t="shared" si="3"/>
        <v>666</v>
      </c>
      <c r="N38" s="290">
        <v>0</v>
      </c>
      <c r="O38" s="9"/>
      <c r="AD38" s="14">
        <f t="shared" si="4"/>
        <v>100</v>
      </c>
    </row>
    <row r="39" spans="2:15" ht="15">
      <c r="B39" s="582"/>
      <c r="C39" s="284" t="s">
        <v>19</v>
      </c>
      <c r="D39" s="589">
        <f>SUM(D12:D38)</f>
        <v>30879</v>
      </c>
      <c r="E39" s="589">
        <f>SUM(E12:E38)</f>
        <v>311</v>
      </c>
      <c r="F39" s="589">
        <f>SUM(F12:F38)</f>
        <v>10</v>
      </c>
      <c r="G39" s="589">
        <f>SUM(G12:G38)</f>
        <v>169</v>
      </c>
      <c r="H39" s="290">
        <f>SUM(H12:H38)</f>
        <v>31369</v>
      </c>
      <c r="I39" s="290">
        <f aca="true" t="shared" si="7" ref="I39:N39">SUM(I12:I38)</f>
        <v>30879</v>
      </c>
      <c r="J39" s="290">
        <f t="shared" si="7"/>
        <v>311</v>
      </c>
      <c r="K39" s="290">
        <f t="shared" si="7"/>
        <v>10</v>
      </c>
      <c r="L39" s="290">
        <f t="shared" si="7"/>
        <v>169</v>
      </c>
      <c r="M39" s="290">
        <f t="shared" si="7"/>
        <v>31369</v>
      </c>
      <c r="N39" s="290">
        <f t="shared" si="7"/>
        <v>0</v>
      </c>
      <c r="O39" s="9"/>
    </row>
    <row r="40" spans="2:14" ht="12.75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ht="12.75">
      <c r="B41" s="10" t="s">
        <v>8</v>
      </c>
    </row>
    <row r="42" ht="12.75">
      <c r="B42" t="s">
        <v>9</v>
      </c>
    </row>
    <row r="43" spans="2:13" ht="12.75">
      <c r="B43" t="s">
        <v>10</v>
      </c>
      <c r="K43" s="11" t="s">
        <v>11</v>
      </c>
      <c r="L43" s="11"/>
      <c r="M43" s="11" t="s">
        <v>11</v>
      </c>
    </row>
    <row r="44" spans="2:13" ht="12.75">
      <c r="B44" s="15" t="s">
        <v>431</v>
      </c>
      <c r="K44" s="11"/>
      <c r="L44" s="11"/>
      <c r="M44" s="11"/>
    </row>
    <row r="45" spans="4:14" ht="12.75">
      <c r="D45" s="15" t="s">
        <v>432</v>
      </c>
      <c r="F45" s="12"/>
      <c r="G45" s="12"/>
      <c r="H45" s="12"/>
      <c r="I45" s="12"/>
      <c r="J45" s="12"/>
      <c r="K45" s="12"/>
      <c r="L45" s="12"/>
      <c r="M45" s="12"/>
      <c r="N45" s="12"/>
    </row>
    <row r="46" spans="4:14" ht="27" customHeight="1">
      <c r="D46" s="15"/>
      <c r="F46" s="12"/>
      <c r="G46" s="12"/>
      <c r="H46" s="12"/>
      <c r="I46" s="12"/>
      <c r="J46" s="12"/>
      <c r="K46" s="12"/>
      <c r="L46" s="12"/>
      <c r="M46" s="12"/>
      <c r="N46" s="12"/>
    </row>
    <row r="47" spans="2:15" ht="15" customHeight="1">
      <c r="B47" s="13" t="s">
        <v>12</v>
      </c>
      <c r="C47" s="13"/>
      <c r="D47" s="13"/>
      <c r="E47" s="13"/>
      <c r="F47" s="13"/>
      <c r="G47" s="13"/>
      <c r="H47" s="13"/>
      <c r="I47" s="363"/>
      <c r="J47" s="14"/>
      <c r="K47" s="14"/>
      <c r="L47" s="881" t="s">
        <v>13</v>
      </c>
      <c r="M47" s="881"/>
      <c r="N47" s="83"/>
      <c r="O47" s="14"/>
    </row>
    <row r="48" spans="2:15" ht="15" customHeight="1">
      <c r="B48" s="362"/>
      <c r="C48" s="362"/>
      <c r="D48" s="362"/>
      <c r="E48" s="362"/>
      <c r="F48" s="362"/>
      <c r="G48" s="362"/>
      <c r="H48" s="362"/>
      <c r="I48" s="363"/>
      <c r="J48" s="83"/>
      <c r="K48" s="881" t="s">
        <v>14</v>
      </c>
      <c r="L48" s="881"/>
      <c r="M48" s="881"/>
      <c r="N48" s="881"/>
      <c r="O48" s="83"/>
    </row>
    <row r="49" spans="2:15" ht="15.75" customHeight="1">
      <c r="B49" s="362"/>
      <c r="C49" s="362"/>
      <c r="D49" s="362"/>
      <c r="E49" s="362"/>
      <c r="F49" s="362"/>
      <c r="G49" s="362"/>
      <c r="H49" s="362"/>
      <c r="I49" s="363"/>
      <c r="J49" s="881" t="s">
        <v>637</v>
      </c>
      <c r="K49" s="881"/>
      <c r="L49" s="881"/>
      <c r="M49" s="881"/>
      <c r="N49" s="881"/>
      <c r="O49" s="881"/>
    </row>
    <row r="50" spans="9:15" ht="12.75">
      <c r="I50" s="363"/>
      <c r="J50" s="14"/>
      <c r="K50" s="14"/>
      <c r="L50" s="1" t="s">
        <v>84</v>
      </c>
      <c r="M50" s="1"/>
      <c r="N50" s="1"/>
      <c r="O50" s="1"/>
    </row>
    <row r="51" spans="2:14" ht="12.75">
      <c r="B51" s="965"/>
      <c r="C51" s="965"/>
      <c r="D51" s="965"/>
      <c r="E51" s="965"/>
      <c r="F51" s="965"/>
      <c r="G51" s="965"/>
      <c r="H51" s="965"/>
      <c r="I51" s="965"/>
      <c r="J51" s="965"/>
      <c r="K51" s="965"/>
      <c r="L51" s="965"/>
      <c r="M51" s="965"/>
      <c r="N51" s="965"/>
    </row>
    <row r="61" spans="14:17" ht="21" customHeight="1">
      <c r="N61" s="853"/>
      <c r="O61" s="853"/>
      <c r="P61" s="853"/>
      <c r="Q61" s="853"/>
    </row>
  </sheetData>
  <sheetProtection/>
  <mergeCells count="17">
    <mergeCell ref="N61:Q61"/>
    <mergeCell ref="M7:O7"/>
    <mergeCell ref="N9:N10"/>
    <mergeCell ref="O9:O10"/>
    <mergeCell ref="E1:J1"/>
    <mergeCell ref="B5:N5"/>
    <mergeCell ref="B3:N3"/>
    <mergeCell ref="B2:N2"/>
    <mergeCell ref="M1:N1"/>
    <mergeCell ref="J49:O49"/>
    <mergeCell ref="C9:C10"/>
    <mergeCell ref="B9:B10"/>
    <mergeCell ref="B51:N51"/>
    <mergeCell ref="L47:M47"/>
    <mergeCell ref="I9:M9"/>
    <mergeCell ref="D9:H9"/>
    <mergeCell ref="K48:N48"/>
  </mergeCells>
  <printOptions horizontalCentered="1"/>
  <pageMargins left="0.7086614173228347" right="0.7086614173228347" top="0.46" bottom="0" header="0.64" footer="0.31496062992125984"/>
  <pageSetup fitToHeight="1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AD61"/>
  <sheetViews>
    <sheetView view="pageBreakPreview" zoomScale="90" zoomScaleSheetLayoutView="90" zoomScalePageLayoutView="0" workbookViewId="0" topLeftCell="A16">
      <selection activeCell="N28" sqref="N28"/>
    </sheetView>
  </sheetViews>
  <sheetFormatPr defaultColWidth="9.140625" defaultRowHeight="12.75"/>
  <cols>
    <col min="2" max="2" width="7.57421875" style="0" customWidth="1"/>
    <col min="3" max="3" width="14.421875" style="0" customWidth="1"/>
    <col min="4" max="4" width="9.7109375" style="0" customWidth="1"/>
    <col min="6" max="6" width="9.57421875" style="0" customWidth="1"/>
    <col min="7" max="7" width="7.57421875" style="0" customWidth="1"/>
    <col min="8" max="8" width="8.421875" style="0" customWidth="1"/>
    <col min="9" max="9" width="10.57421875" style="0" customWidth="1"/>
    <col min="10" max="10" width="9.8515625" style="0" customWidth="1"/>
    <col min="13" max="13" width="7.57421875" style="0" customWidth="1"/>
    <col min="14" max="14" width="12.28125" style="0" customWidth="1"/>
    <col min="15" max="15" width="15.8515625" style="0" customWidth="1"/>
  </cols>
  <sheetData>
    <row r="1" spans="5:14" ht="12.75" customHeight="1">
      <c r="E1" s="853"/>
      <c r="F1" s="853"/>
      <c r="G1" s="853"/>
      <c r="H1" s="853"/>
      <c r="I1" s="853"/>
      <c r="J1" s="853"/>
      <c r="K1" s="853"/>
      <c r="L1" s="1"/>
      <c r="N1" s="102" t="s">
        <v>89</v>
      </c>
    </row>
    <row r="2" spans="2:15" ht="15">
      <c r="B2" s="969" t="s">
        <v>0</v>
      </c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969"/>
      <c r="N2" s="969"/>
      <c r="O2" s="969"/>
    </row>
    <row r="3" spans="2:15" ht="20.25">
      <c r="B3" s="902" t="s">
        <v>859</v>
      </c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</row>
    <row r="4" ht="11.25" customHeight="1"/>
    <row r="5" spans="2:15" ht="15.75">
      <c r="B5" s="903" t="s">
        <v>1038</v>
      </c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</row>
    <row r="7" spans="2:15" ht="12.75">
      <c r="B7" s="898" t="s">
        <v>634</v>
      </c>
      <c r="C7" s="898"/>
      <c r="M7" s="968" t="s">
        <v>906</v>
      </c>
      <c r="N7" s="968"/>
      <c r="O7" s="968"/>
    </row>
    <row r="8" spans="2:15" ht="15.75" customHeight="1">
      <c r="B8" s="963" t="s">
        <v>2</v>
      </c>
      <c r="C8" s="963" t="s">
        <v>3</v>
      </c>
      <c r="D8" s="876" t="s">
        <v>4</v>
      </c>
      <c r="E8" s="876"/>
      <c r="F8" s="876"/>
      <c r="G8" s="876"/>
      <c r="H8" s="876"/>
      <c r="I8" s="876" t="s">
        <v>103</v>
      </c>
      <c r="J8" s="876"/>
      <c r="K8" s="876"/>
      <c r="L8" s="876"/>
      <c r="M8" s="876"/>
      <c r="N8" s="963" t="s">
        <v>140</v>
      </c>
      <c r="O8" s="871" t="s">
        <v>141</v>
      </c>
    </row>
    <row r="9" spans="2:20" ht="51">
      <c r="B9" s="964"/>
      <c r="C9" s="964"/>
      <c r="D9" s="5" t="s">
        <v>5</v>
      </c>
      <c r="E9" s="5" t="s">
        <v>6</v>
      </c>
      <c r="F9" s="5" t="s">
        <v>353</v>
      </c>
      <c r="G9" s="5" t="s">
        <v>101</v>
      </c>
      <c r="H9" s="5" t="s">
        <v>224</v>
      </c>
      <c r="I9" s="5" t="s">
        <v>5</v>
      </c>
      <c r="J9" s="5" t="s">
        <v>6</v>
      </c>
      <c r="K9" s="5" t="s">
        <v>353</v>
      </c>
      <c r="L9" s="5" t="s">
        <v>101</v>
      </c>
      <c r="M9" s="5" t="s">
        <v>223</v>
      </c>
      <c r="N9" s="964"/>
      <c r="O9" s="871"/>
      <c r="S9" s="9"/>
      <c r="T9" s="12"/>
    </row>
    <row r="10" spans="2:15" s="14" customFormat="1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</row>
    <row r="11" spans="2:30" s="14" customFormat="1" ht="15">
      <c r="B11" s="637">
        <v>1</v>
      </c>
      <c r="C11" s="9" t="s">
        <v>898</v>
      </c>
      <c r="D11" s="290"/>
      <c r="E11" s="290"/>
      <c r="F11" s="290"/>
      <c r="G11" s="290"/>
      <c r="H11" s="290"/>
      <c r="I11" s="291"/>
      <c r="J11" s="291"/>
      <c r="K11" s="291"/>
      <c r="L11" s="291">
        <f>SUM(H11:K11)</f>
        <v>0</v>
      </c>
      <c r="M11" s="291"/>
      <c r="N11" s="291"/>
      <c r="O11" s="9"/>
      <c r="AD11" s="14" t="e">
        <f>ROUND(L11/G11*100,2)</f>
        <v>#DIV/0!</v>
      </c>
    </row>
    <row r="12" spans="2:30" s="14" customFormat="1" ht="15">
      <c r="B12" s="637">
        <v>2</v>
      </c>
      <c r="C12" s="9" t="s">
        <v>899</v>
      </c>
      <c r="D12" s="290"/>
      <c r="E12" s="290"/>
      <c r="F12" s="290"/>
      <c r="G12" s="290"/>
      <c r="H12" s="290"/>
      <c r="I12" s="291"/>
      <c r="J12" s="291"/>
      <c r="K12" s="291"/>
      <c r="L12" s="291">
        <f aca="true" t="shared" si="0" ref="L12:L17">SUM(H12:K12)</f>
        <v>0</v>
      </c>
      <c r="M12" s="291"/>
      <c r="N12" s="291"/>
      <c r="O12" s="9"/>
      <c r="AD12" s="14" t="e">
        <f aca="true" t="shared" si="1" ref="AD12:AD38">ROUND(L12/G12*100,2)</f>
        <v>#DIV/0!</v>
      </c>
    </row>
    <row r="13" spans="2:30" s="14" customFormat="1" ht="15">
      <c r="B13" s="637">
        <v>3</v>
      </c>
      <c r="C13" s="9" t="s">
        <v>839</v>
      </c>
      <c r="D13" s="290"/>
      <c r="E13" s="290"/>
      <c r="F13" s="290"/>
      <c r="G13" s="290"/>
      <c r="H13" s="290"/>
      <c r="I13" s="291"/>
      <c r="J13" s="291"/>
      <c r="K13" s="291"/>
      <c r="L13" s="291">
        <f t="shared" si="0"/>
        <v>0</v>
      </c>
      <c r="M13" s="291"/>
      <c r="N13" s="291"/>
      <c r="O13" s="9"/>
      <c r="AD13" s="14" t="e">
        <f t="shared" si="1"/>
        <v>#DIV/0!</v>
      </c>
    </row>
    <row r="14" spans="2:30" s="14" customFormat="1" ht="15">
      <c r="B14" s="637">
        <v>4</v>
      </c>
      <c r="C14" s="9" t="s">
        <v>743</v>
      </c>
      <c r="D14" s="290"/>
      <c r="E14" s="290"/>
      <c r="F14" s="290"/>
      <c r="G14" s="290"/>
      <c r="H14" s="290"/>
      <c r="I14" s="291"/>
      <c r="J14" s="291"/>
      <c r="K14" s="291"/>
      <c r="L14" s="291">
        <f t="shared" si="0"/>
        <v>0</v>
      </c>
      <c r="M14" s="291"/>
      <c r="N14" s="291"/>
      <c r="O14" s="9"/>
      <c r="AD14" s="14" t="e">
        <f t="shared" si="1"/>
        <v>#DIV/0!</v>
      </c>
    </row>
    <row r="15" spans="2:30" s="14" customFormat="1" ht="15">
      <c r="B15" s="637">
        <v>5</v>
      </c>
      <c r="C15" s="9" t="s">
        <v>748</v>
      </c>
      <c r="D15" s="290"/>
      <c r="E15" s="290"/>
      <c r="F15" s="290"/>
      <c r="G15" s="290"/>
      <c r="H15" s="290"/>
      <c r="I15" s="291"/>
      <c r="J15" s="291"/>
      <c r="K15" s="291"/>
      <c r="L15" s="291">
        <f t="shared" si="0"/>
        <v>0</v>
      </c>
      <c r="M15" s="291"/>
      <c r="N15" s="291"/>
      <c r="O15" s="9"/>
      <c r="AD15" s="14" t="e">
        <f t="shared" si="1"/>
        <v>#DIV/0!</v>
      </c>
    </row>
    <row r="16" spans="2:30" s="14" customFormat="1" ht="15">
      <c r="B16" s="637">
        <v>6</v>
      </c>
      <c r="C16" s="9" t="s">
        <v>747</v>
      </c>
      <c r="D16" s="290"/>
      <c r="E16" s="290"/>
      <c r="F16" s="290"/>
      <c r="G16" s="290"/>
      <c r="H16" s="290"/>
      <c r="I16" s="291"/>
      <c r="J16" s="291"/>
      <c r="K16" s="291"/>
      <c r="L16" s="291">
        <f t="shared" si="0"/>
        <v>0</v>
      </c>
      <c r="M16" s="291"/>
      <c r="N16" s="291"/>
      <c r="O16" s="9"/>
      <c r="AD16" s="14" t="e">
        <f t="shared" si="1"/>
        <v>#DIV/0!</v>
      </c>
    </row>
    <row r="17" spans="2:30" s="14" customFormat="1" ht="15">
      <c r="B17" s="637">
        <v>7</v>
      </c>
      <c r="C17" s="9" t="s">
        <v>737</v>
      </c>
      <c r="D17" s="290"/>
      <c r="E17" s="290"/>
      <c r="F17" s="290"/>
      <c r="G17" s="290"/>
      <c r="H17" s="290"/>
      <c r="I17" s="291"/>
      <c r="J17" s="291"/>
      <c r="K17" s="291"/>
      <c r="L17" s="291">
        <f t="shared" si="0"/>
        <v>0</v>
      </c>
      <c r="M17" s="291"/>
      <c r="N17" s="291"/>
      <c r="O17" s="9"/>
      <c r="AD17" s="14" t="e">
        <f t="shared" si="1"/>
        <v>#DIV/0!</v>
      </c>
    </row>
    <row r="18" spans="2:30" s="14" customFormat="1" ht="15">
      <c r="B18" s="637">
        <v>8</v>
      </c>
      <c r="C18" s="9" t="s">
        <v>749</v>
      </c>
      <c r="D18" s="290"/>
      <c r="E18" s="290"/>
      <c r="F18" s="290"/>
      <c r="G18" s="290"/>
      <c r="H18" s="290"/>
      <c r="I18" s="291"/>
      <c r="J18" s="291"/>
      <c r="K18" s="291"/>
      <c r="L18" s="291">
        <f>SUM(H18:K18)</f>
        <v>0</v>
      </c>
      <c r="M18" s="291"/>
      <c r="N18" s="291"/>
      <c r="O18" s="9"/>
      <c r="AD18" s="14" t="e">
        <f t="shared" si="1"/>
        <v>#DIV/0!</v>
      </c>
    </row>
    <row r="19" spans="2:30" s="14" customFormat="1" ht="15">
      <c r="B19" s="637">
        <v>9</v>
      </c>
      <c r="C19" s="9" t="s">
        <v>834</v>
      </c>
      <c r="D19" s="290"/>
      <c r="E19" s="290"/>
      <c r="F19" s="290"/>
      <c r="G19" s="290"/>
      <c r="H19" s="290"/>
      <c r="I19" s="291"/>
      <c r="J19" s="291"/>
      <c r="K19" s="291"/>
      <c r="L19" s="291">
        <f aca="true" t="shared" si="2" ref="L19:L37">SUM(H19:K19)</f>
        <v>0</v>
      </c>
      <c r="M19" s="291"/>
      <c r="N19" s="291"/>
      <c r="O19" s="9"/>
      <c r="AD19" s="14" t="e">
        <f t="shared" si="1"/>
        <v>#DIV/0!</v>
      </c>
    </row>
    <row r="20" spans="2:30" s="14" customFormat="1" ht="15">
      <c r="B20" s="637">
        <v>10</v>
      </c>
      <c r="C20" s="9" t="s">
        <v>739</v>
      </c>
      <c r="D20" s="290"/>
      <c r="E20" s="290"/>
      <c r="F20" s="290"/>
      <c r="G20" s="290"/>
      <c r="H20" s="290"/>
      <c r="I20" s="291"/>
      <c r="J20" s="291"/>
      <c r="K20" s="291"/>
      <c r="L20" s="291">
        <f t="shared" si="2"/>
        <v>0</v>
      </c>
      <c r="M20" s="291"/>
      <c r="N20" s="291"/>
      <c r="O20" s="9"/>
      <c r="AD20" s="14" t="e">
        <f t="shared" si="1"/>
        <v>#DIV/0!</v>
      </c>
    </row>
    <row r="21" spans="2:30" s="14" customFormat="1" ht="15">
      <c r="B21" s="637">
        <v>11</v>
      </c>
      <c r="C21" s="9" t="s">
        <v>900</v>
      </c>
      <c r="D21" s="290"/>
      <c r="E21" s="290"/>
      <c r="F21" s="290"/>
      <c r="G21" s="290"/>
      <c r="H21" s="290"/>
      <c r="I21" s="291"/>
      <c r="J21" s="291"/>
      <c r="K21" s="291"/>
      <c r="L21" s="291">
        <f t="shared" si="2"/>
        <v>0</v>
      </c>
      <c r="M21" s="291"/>
      <c r="N21" s="291"/>
      <c r="O21" s="9"/>
      <c r="AD21" s="14" t="e">
        <f t="shared" si="1"/>
        <v>#DIV/0!</v>
      </c>
    </row>
    <row r="22" spans="2:30" s="14" customFormat="1" ht="15">
      <c r="B22" s="637">
        <v>12</v>
      </c>
      <c r="C22" s="9" t="s">
        <v>731</v>
      </c>
      <c r="D22" s="290"/>
      <c r="E22" s="290"/>
      <c r="F22" s="290"/>
      <c r="G22" s="290"/>
      <c r="H22" s="290"/>
      <c r="I22" s="291"/>
      <c r="J22" s="291"/>
      <c r="K22" s="291"/>
      <c r="L22" s="291">
        <f t="shared" si="2"/>
        <v>0</v>
      </c>
      <c r="M22" s="291"/>
      <c r="N22" s="291"/>
      <c r="O22" s="9"/>
      <c r="AD22" s="14" t="e">
        <f t="shared" si="1"/>
        <v>#DIV/0!</v>
      </c>
    </row>
    <row r="23" spans="2:30" s="14" customFormat="1" ht="15">
      <c r="B23" s="637">
        <v>13</v>
      </c>
      <c r="C23" s="9" t="s">
        <v>742</v>
      </c>
      <c r="D23" s="290"/>
      <c r="E23" s="290"/>
      <c r="F23" s="290"/>
      <c r="G23" s="290"/>
      <c r="H23" s="290"/>
      <c r="I23" s="291"/>
      <c r="J23" s="291"/>
      <c r="K23" s="291"/>
      <c r="L23" s="291">
        <f t="shared" si="2"/>
        <v>0</v>
      </c>
      <c r="M23" s="291"/>
      <c r="N23" s="291"/>
      <c r="O23" s="9"/>
      <c r="AD23" s="14" t="e">
        <f t="shared" si="1"/>
        <v>#DIV/0!</v>
      </c>
    </row>
    <row r="24" spans="2:30" ht="15">
      <c r="B24" s="637">
        <v>14</v>
      </c>
      <c r="C24" s="9" t="s">
        <v>740</v>
      </c>
      <c r="D24" s="290"/>
      <c r="E24" s="290"/>
      <c r="F24" s="290"/>
      <c r="G24" s="290"/>
      <c r="H24" s="290"/>
      <c r="I24" s="291"/>
      <c r="J24" s="291"/>
      <c r="K24" s="291"/>
      <c r="L24" s="291">
        <f t="shared" si="2"/>
        <v>0</v>
      </c>
      <c r="M24" s="291"/>
      <c r="N24" s="291"/>
      <c r="O24" s="9"/>
      <c r="AD24" s="14" t="e">
        <f t="shared" si="1"/>
        <v>#DIV/0!</v>
      </c>
    </row>
    <row r="25" spans="2:30" ht="15">
      <c r="B25" s="637">
        <v>15</v>
      </c>
      <c r="C25" s="9" t="s">
        <v>734</v>
      </c>
      <c r="D25" s="290"/>
      <c r="E25" s="290"/>
      <c r="F25" s="290"/>
      <c r="G25" s="290"/>
      <c r="H25" s="290"/>
      <c r="I25" s="291"/>
      <c r="J25" s="291"/>
      <c r="K25" s="291"/>
      <c r="L25" s="291">
        <f t="shared" si="2"/>
        <v>0</v>
      </c>
      <c r="M25" s="291"/>
      <c r="N25" s="291"/>
      <c r="O25" s="9"/>
      <c r="AD25" s="14" t="e">
        <f t="shared" si="1"/>
        <v>#DIV/0!</v>
      </c>
    </row>
    <row r="26" spans="2:30" ht="15">
      <c r="B26" s="637">
        <v>16</v>
      </c>
      <c r="C26" s="9" t="s">
        <v>741</v>
      </c>
      <c r="D26" s="290"/>
      <c r="E26" s="290"/>
      <c r="F26" s="290"/>
      <c r="G26" s="290"/>
      <c r="H26" s="290"/>
      <c r="I26" s="291"/>
      <c r="J26" s="291"/>
      <c r="K26" s="291"/>
      <c r="L26" s="291">
        <f t="shared" si="2"/>
        <v>0</v>
      </c>
      <c r="M26" s="291"/>
      <c r="N26" s="291"/>
      <c r="O26" s="9"/>
      <c r="AD26" s="14" t="e">
        <f t="shared" si="1"/>
        <v>#DIV/0!</v>
      </c>
    </row>
    <row r="27" spans="2:30" ht="15">
      <c r="B27" s="637">
        <v>17</v>
      </c>
      <c r="C27" s="9" t="s">
        <v>733</v>
      </c>
      <c r="D27" s="290"/>
      <c r="E27" s="290"/>
      <c r="F27" s="290"/>
      <c r="G27" s="290"/>
      <c r="H27" s="290"/>
      <c r="I27" s="291"/>
      <c r="J27" s="291"/>
      <c r="K27" s="291"/>
      <c r="L27" s="291">
        <f t="shared" si="2"/>
        <v>0</v>
      </c>
      <c r="M27" s="291"/>
      <c r="N27" s="291"/>
      <c r="O27" s="9"/>
      <c r="AD27" s="14" t="e">
        <f t="shared" si="1"/>
        <v>#DIV/0!</v>
      </c>
    </row>
    <row r="28" spans="2:30" ht="15">
      <c r="B28" s="637">
        <v>18</v>
      </c>
      <c r="C28" s="9" t="s">
        <v>735</v>
      </c>
      <c r="D28" s="290"/>
      <c r="E28" s="290"/>
      <c r="F28" s="290"/>
      <c r="G28" s="290"/>
      <c r="H28" s="290"/>
      <c r="I28" s="291"/>
      <c r="J28" s="291"/>
      <c r="K28" s="291"/>
      <c r="L28" s="291">
        <f t="shared" si="2"/>
        <v>0</v>
      </c>
      <c r="M28" s="291"/>
      <c r="N28" s="291"/>
      <c r="O28" s="9"/>
      <c r="AD28" s="14" t="e">
        <f t="shared" si="1"/>
        <v>#DIV/0!</v>
      </c>
    </row>
    <row r="29" spans="2:30" ht="15">
      <c r="B29" s="637">
        <v>19</v>
      </c>
      <c r="C29" s="9" t="s">
        <v>732</v>
      </c>
      <c r="D29" s="290"/>
      <c r="E29" s="290"/>
      <c r="F29" s="290"/>
      <c r="G29" s="290"/>
      <c r="H29" s="290"/>
      <c r="I29" s="291"/>
      <c r="J29" s="291"/>
      <c r="K29" s="291"/>
      <c r="L29" s="291">
        <f t="shared" si="2"/>
        <v>0</v>
      </c>
      <c r="M29" s="291"/>
      <c r="N29" s="291"/>
      <c r="O29" s="9"/>
      <c r="AD29" s="14" t="e">
        <f t="shared" si="1"/>
        <v>#DIV/0!</v>
      </c>
    </row>
    <row r="30" spans="2:30" ht="15">
      <c r="B30" s="637">
        <v>20</v>
      </c>
      <c r="C30" s="9" t="s">
        <v>836</v>
      </c>
      <c r="D30" s="290"/>
      <c r="E30" s="290"/>
      <c r="F30" s="290"/>
      <c r="G30" s="290"/>
      <c r="H30" s="290"/>
      <c r="I30" s="291"/>
      <c r="J30" s="291"/>
      <c r="K30" s="291"/>
      <c r="L30" s="291">
        <f t="shared" si="2"/>
        <v>0</v>
      </c>
      <c r="M30" s="291"/>
      <c r="N30" s="291"/>
      <c r="O30" s="9"/>
      <c r="AD30" s="14" t="e">
        <f t="shared" si="1"/>
        <v>#DIV/0!</v>
      </c>
    </row>
    <row r="31" spans="2:30" ht="15">
      <c r="B31" s="637">
        <v>21</v>
      </c>
      <c r="C31" s="9" t="s">
        <v>729</v>
      </c>
      <c r="D31" s="290"/>
      <c r="E31" s="290"/>
      <c r="F31" s="290"/>
      <c r="G31" s="290"/>
      <c r="H31" s="290"/>
      <c r="I31" s="291"/>
      <c r="J31" s="291"/>
      <c r="K31" s="291"/>
      <c r="L31" s="291">
        <f t="shared" si="2"/>
        <v>0</v>
      </c>
      <c r="M31" s="291"/>
      <c r="N31" s="291"/>
      <c r="O31" s="9"/>
      <c r="AD31" s="14" t="e">
        <f t="shared" si="1"/>
        <v>#DIV/0!</v>
      </c>
    </row>
    <row r="32" spans="2:30" ht="15">
      <c r="B32" s="637">
        <v>22</v>
      </c>
      <c r="C32" s="9" t="s">
        <v>746</v>
      </c>
      <c r="D32" s="290"/>
      <c r="E32" s="290"/>
      <c r="F32" s="290"/>
      <c r="G32" s="290"/>
      <c r="H32" s="290"/>
      <c r="I32" s="291"/>
      <c r="J32" s="291"/>
      <c r="K32" s="291"/>
      <c r="L32" s="291">
        <f t="shared" si="2"/>
        <v>0</v>
      </c>
      <c r="M32" s="291"/>
      <c r="N32" s="291"/>
      <c r="O32" s="9"/>
      <c r="AD32" s="14" t="e">
        <f t="shared" si="1"/>
        <v>#DIV/0!</v>
      </c>
    </row>
    <row r="33" spans="2:30" ht="15">
      <c r="B33" s="637">
        <v>23</v>
      </c>
      <c r="C33" s="9" t="s">
        <v>738</v>
      </c>
      <c r="D33" s="290"/>
      <c r="E33" s="290"/>
      <c r="F33" s="290"/>
      <c r="G33" s="290"/>
      <c r="H33" s="290"/>
      <c r="I33" s="291"/>
      <c r="J33" s="291"/>
      <c r="K33" s="291"/>
      <c r="L33" s="291">
        <f t="shared" si="2"/>
        <v>0</v>
      </c>
      <c r="M33" s="291"/>
      <c r="N33" s="291"/>
      <c r="O33" s="9"/>
      <c r="AD33" s="14" t="e">
        <f t="shared" si="1"/>
        <v>#DIV/0!</v>
      </c>
    </row>
    <row r="34" spans="2:30" ht="15">
      <c r="B34" s="637">
        <v>24</v>
      </c>
      <c r="C34" s="9" t="s">
        <v>730</v>
      </c>
      <c r="D34" s="290"/>
      <c r="E34" s="290"/>
      <c r="F34" s="290"/>
      <c r="G34" s="290"/>
      <c r="H34" s="290"/>
      <c r="I34" s="291"/>
      <c r="J34" s="291"/>
      <c r="K34" s="291"/>
      <c r="L34" s="291">
        <f t="shared" si="2"/>
        <v>0</v>
      </c>
      <c r="M34" s="291"/>
      <c r="N34" s="291"/>
      <c r="O34" s="9"/>
      <c r="AD34" s="14" t="e">
        <f t="shared" si="1"/>
        <v>#DIV/0!</v>
      </c>
    </row>
    <row r="35" spans="2:30" ht="15">
      <c r="B35" s="637">
        <v>25</v>
      </c>
      <c r="C35" s="9" t="s">
        <v>736</v>
      </c>
      <c r="D35" s="290"/>
      <c r="E35" s="290"/>
      <c r="F35" s="290"/>
      <c r="G35" s="290"/>
      <c r="H35" s="290"/>
      <c r="I35" s="291"/>
      <c r="J35" s="291"/>
      <c r="K35" s="291"/>
      <c r="L35" s="291">
        <f t="shared" si="2"/>
        <v>0</v>
      </c>
      <c r="M35" s="291"/>
      <c r="N35" s="291"/>
      <c r="O35" s="9"/>
      <c r="AD35" s="14" t="e">
        <f t="shared" si="1"/>
        <v>#DIV/0!</v>
      </c>
    </row>
    <row r="36" spans="2:30" ht="15">
      <c r="B36" s="637">
        <v>26</v>
      </c>
      <c r="C36" s="9" t="s">
        <v>744</v>
      </c>
      <c r="D36" s="290"/>
      <c r="E36" s="290"/>
      <c r="F36" s="290"/>
      <c r="G36" s="290"/>
      <c r="H36" s="290"/>
      <c r="I36" s="291"/>
      <c r="J36" s="291"/>
      <c r="K36" s="291"/>
      <c r="L36" s="291">
        <f t="shared" si="2"/>
        <v>0</v>
      </c>
      <c r="M36" s="291"/>
      <c r="N36" s="291"/>
      <c r="O36" s="9"/>
      <c r="AD36" s="14" t="e">
        <f t="shared" si="1"/>
        <v>#DIV/0!</v>
      </c>
    </row>
    <row r="37" spans="2:30" ht="15">
      <c r="B37" s="637">
        <v>27</v>
      </c>
      <c r="C37" s="9" t="s">
        <v>745</v>
      </c>
      <c r="D37" s="290"/>
      <c r="E37" s="290"/>
      <c r="F37" s="290"/>
      <c r="G37" s="290"/>
      <c r="H37" s="290"/>
      <c r="I37" s="291"/>
      <c r="J37" s="291"/>
      <c r="K37" s="291"/>
      <c r="L37" s="291">
        <f t="shared" si="2"/>
        <v>0</v>
      </c>
      <c r="M37" s="291"/>
      <c r="N37" s="291"/>
      <c r="O37" s="9"/>
      <c r="AD37" s="14" t="e">
        <f t="shared" si="1"/>
        <v>#DIV/0!</v>
      </c>
    </row>
    <row r="38" spans="2:30" ht="15.75" customHeight="1">
      <c r="B38" s="3" t="s">
        <v>19</v>
      </c>
      <c r="C38" s="9"/>
      <c r="D38" s="290"/>
      <c r="E38" s="290"/>
      <c r="F38" s="290"/>
      <c r="G38" s="290"/>
      <c r="H38" s="290"/>
      <c r="I38" s="292"/>
      <c r="J38" s="292"/>
      <c r="K38" s="292"/>
      <c r="L38" s="292"/>
      <c r="M38" s="292"/>
      <c r="N38" s="292"/>
      <c r="O38" s="9"/>
      <c r="AD38" s="14" t="e">
        <f t="shared" si="1"/>
        <v>#DIV/0!</v>
      </c>
    </row>
    <row r="39" spans="2:15" ht="12.75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ht="12.75">
      <c r="B40" s="10" t="s">
        <v>8</v>
      </c>
    </row>
    <row r="41" ht="12.75">
      <c r="B41" t="s">
        <v>9</v>
      </c>
    </row>
    <row r="42" spans="2:15" ht="12.75">
      <c r="B42" t="s">
        <v>10</v>
      </c>
      <c r="M42" s="11" t="s">
        <v>11</v>
      </c>
      <c r="N42" s="11"/>
      <c r="O42" s="11" t="s">
        <v>11</v>
      </c>
    </row>
    <row r="43" spans="2:13" ht="12.75">
      <c r="B43" s="15" t="s">
        <v>431</v>
      </c>
      <c r="K43" s="11"/>
      <c r="L43" s="11"/>
      <c r="M43" s="11"/>
    </row>
    <row r="44" spans="4:14" ht="12.75">
      <c r="D44" s="15" t="s">
        <v>432</v>
      </c>
      <c r="F44" s="12"/>
      <c r="G44" s="12"/>
      <c r="H44" s="12"/>
      <c r="I44" s="12"/>
      <c r="J44" s="12"/>
      <c r="K44" s="12"/>
      <c r="L44" s="12"/>
      <c r="M44" s="12"/>
      <c r="N44" s="12"/>
    </row>
    <row r="45" spans="6:15" ht="12.75"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6:15" ht="12.75"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2:15" ht="15.75" customHeight="1">
      <c r="B47" s="13" t="s">
        <v>12</v>
      </c>
      <c r="C47" s="13"/>
      <c r="D47" s="13"/>
      <c r="E47" s="13"/>
      <c r="F47" s="13"/>
      <c r="G47" s="13"/>
      <c r="H47" s="13"/>
      <c r="I47" s="13"/>
      <c r="J47" s="14"/>
      <c r="K47" s="14"/>
      <c r="L47" s="881" t="s">
        <v>13</v>
      </c>
      <c r="M47" s="881"/>
      <c r="N47" s="83"/>
      <c r="O47" s="14"/>
    </row>
    <row r="48" spans="2:15" ht="15.75" customHeight="1">
      <c r="B48" s="362"/>
      <c r="C48" s="362"/>
      <c r="D48" s="362"/>
      <c r="E48" s="362"/>
      <c r="F48" s="362"/>
      <c r="G48" s="362"/>
      <c r="H48" s="362"/>
      <c r="I48" s="362"/>
      <c r="J48" s="83"/>
      <c r="K48" s="881" t="s">
        <v>14</v>
      </c>
      <c r="L48" s="881"/>
      <c r="M48" s="881"/>
      <c r="N48" s="881"/>
      <c r="O48" s="83"/>
    </row>
    <row r="49" spans="2:15" ht="15.75" customHeight="1">
      <c r="B49" s="362"/>
      <c r="C49" s="362"/>
      <c r="D49" s="362"/>
      <c r="E49" s="362"/>
      <c r="F49" s="362"/>
      <c r="G49" s="362"/>
      <c r="H49" s="362"/>
      <c r="I49" s="362"/>
      <c r="J49" s="881" t="s">
        <v>637</v>
      </c>
      <c r="K49" s="881"/>
      <c r="L49" s="881"/>
      <c r="M49" s="881"/>
      <c r="N49" s="881"/>
      <c r="O49" s="881"/>
    </row>
    <row r="50" spans="10:15" ht="12.75">
      <c r="J50" s="14"/>
      <c r="K50" s="14"/>
      <c r="L50" s="1" t="s">
        <v>84</v>
      </c>
      <c r="M50" s="1"/>
      <c r="N50" s="1"/>
      <c r="O50" s="1"/>
    </row>
    <row r="51" spans="2:15" ht="12.75">
      <c r="B51" s="965"/>
      <c r="C51" s="965"/>
      <c r="D51" s="965"/>
      <c r="E51" s="965"/>
      <c r="F51" s="965"/>
      <c r="G51" s="965"/>
      <c r="H51" s="965"/>
      <c r="I51" s="965"/>
      <c r="J51" s="965"/>
      <c r="K51" s="965"/>
      <c r="L51" s="965"/>
      <c r="M51" s="965"/>
      <c r="N51" s="965"/>
      <c r="O51" s="965"/>
    </row>
    <row r="59" spans="16:18" ht="12.75">
      <c r="P59" s="152"/>
      <c r="Q59" s="152"/>
      <c r="R59" s="152"/>
    </row>
    <row r="61" spans="14:20" ht="21" customHeight="1">
      <c r="N61" s="853"/>
      <c r="O61" s="853"/>
      <c r="P61" s="853"/>
      <c r="Q61" s="853"/>
      <c r="R61" s="853"/>
      <c r="S61" s="853"/>
      <c r="T61" s="853"/>
    </row>
  </sheetData>
  <sheetProtection/>
  <mergeCells count="17">
    <mergeCell ref="D8:H8"/>
    <mergeCell ref="I8:M8"/>
    <mergeCell ref="L47:M47"/>
    <mergeCell ref="K48:N48"/>
    <mergeCell ref="J49:O49"/>
    <mergeCell ref="N61:T61"/>
    <mergeCell ref="B51:O51"/>
    <mergeCell ref="N8:N9"/>
    <mergeCell ref="O8:O9"/>
    <mergeCell ref="B8:B9"/>
    <mergeCell ref="C8:C9"/>
    <mergeCell ref="E1:K1"/>
    <mergeCell ref="B2:O2"/>
    <mergeCell ref="B3:O3"/>
    <mergeCell ref="B5:O5"/>
    <mergeCell ref="M7:O7"/>
    <mergeCell ref="B7:C7"/>
  </mergeCells>
  <printOptions horizontalCentered="1"/>
  <pageMargins left="0.7086614173228347" right="0.7086614173228347" top="0.54" bottom="0" header="0.69" footer="0.31496062992125984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2019-05-09T08:16:32Z</cp:lastPrinted>
  <dcterms:created xsi:type="dcterms:W3CDTF">1996-10-14T23:33:28Z</dcterms:created>
  <dcterms:modified xsi:type="dcterms:W3CDTF">2019-07-18T14:05:49Z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